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A2AE0D24-5C64-413E-8217-FC47045B1833}" xr6:coauthVersionLast="47" xr6:coauthVersionMax="47" xr10:uidLastSave="{00000000-0000-0000-0000-000000000000}"/>
  <bookViews>
    <workbookView xWindow="-120" yWindow="-120" windowWidth="25440" windowHeight="15390" tabRatio="918" xr2:uid="{00000000-000D-0000-FFFF-FFFF00000000}"/>
  </bookViews>
  <sheets>
    <sheet name="отпуск в сеть и факт. потери" sheetId="6" r:id="rId1"/>
  </sheets>
  <externalReferences>
    <externalReference r:id="rId2"/>
    <externalReference r:id="rId3"/>
    <externalReference r:id="rId4"/>
  </externalReferences>
  <definedNames>
    <definedName name="_COB038">'[1]Таблица3 (267)'!$F$13</definedName>
    <definedName name="_COB10">'[1]Таблица3 (267)'!$F$10</definedName>
    <definedName name="_COB110">'[1]Таблица3 (267)'!$F$8</definedName>
    <definedName name="_COB3">'[1]Таблица3 (267)'!$F$12</definedName>
    <definedName name="_COB35">'[1]Таблица3 (267)'!$F$9</definedName>
    <definedName name="_COB6">'[1]Таблица3 (267)'!$F$11</definedName>
    <definedName name="_IKL10">'[1]Таблица3 (267)'!$J$10</definedName>
    <definedName name="_IKL110">'[1]Таблица3 (267)'!$J$8</definedName>
    <definedName name="_IKL3">'[1]Таблица3 (267)'!$J$12</definedName>
    <definedName name="_IKL35">'[1]Таблица3 (267)'!$J$9</definedName>
    <definedName name="_IKL6">'[1]Таблица3 (267)'!$J$11</definedName>
    <definedName name="_LEP038">'[1]Таблица3 (267)'!$B$13</definedName>
    <definedName name="_LEP10">'[1]Таблица3 (267)'!$B$10</definedName>
    <definedName name="_LEP110">'[1]Таблица3 (267)'!$B$8</definedName>
    <definedName name="_LEP3">'[1]Таблица3 (267)'!$B$12</definedName>
    <definedName name="_LEP35">'[1]Таблица3 (267)'!$B$9</definedName>
    <definedName name="_LEP6">'[1]Таблица3 (267)'!$B$11</definedName>
    <definedName name="_OPN10">'[1]Таблица3 (267)'!$P$10</definedName>
    <definedName name="_OPN110">'[1]Таблица3 (267)'!$P$8</definedName>
    <definedName name="_OPN3">'[1]Таблица3 (267)'!$P$12</definedName>
    <definedName name="_OPN35">'[1]Таблица3 (267)'!$P$9</definedName>
    <definedName name="_OPN6">'[1]Таблица3 (267)'!$P$11</definedName>
    <definedName name="_RV10">'[1]Таблица3 (267)'!$O$10</definedName>
    <definedName name="_RV110">'[1]Таблица3 (267)'!$O$8</definedName>
    <definedName name="_RV3">'[1]Таблица3 (267)'!$O$12</definedName>
    <definedName name="_RV35">'[1]Таблица3 (267)'!$O$9</definedName>
    <definedName name="_RV6">'[1]Таблица3 (267)'!$O$11</definedName>
    <definedName name="_TH10">'[1]Таблица3 (267)'!$L$10</definedName>
    <definedName name="_TH110">'[1]Таблица3 (267)'!$L$8</definedName>
    <definedName name="_TH3">'[1]Таблица3 (267)'!$L$12</definedName>
    <definedName name="_TH35">'[1]Таблица3 (267)'!$L$9</definedName>
    <definedName name="_TH6">'[1]Таблица3 (267)'!$L$11</definedName>
    <definedName name="_TKZ10">'[1]Таблица3 (267)'!$D$10</definedName>
    <definedName name="_TKZ110">'[1]Таблица3 (267)'!$D$8</definedName>
    <definedName name="_TKZ3">'[1]Таблица3 (267)'!$D$12</definedName>
    <definedName name="_TKZ35">'[1]Таблица3 (267)'!$D$9</definedName>
    <definedName name="_TKZ6">'[1]Таблица3 (267)'!$D$11</definedName>
    <definedName name="_TT038">'[1]Таблица3 (267)'!$K$13</definedName>
    <definedName name="_TT10">'[1]Таблица3 (267)'!$K$10</definedName>
    <definedName name="_TT110">'[1]Таблица3 (267)'!$K$8</definedName>
    <definedName name="_TT3">'[1]Таблица3 (267)'!$K$12</definedName>
    <definedName name="_TT35">'[1]Таблица3 (267)'!$K$9</definedName>
    <definedName name="_TT6">'[1]Таблица3 (267)'!$K$11</definedName>
    <definedName name="_TXX10">'[1]Таблица3 (267)'!$E$10</definedName>
    <definedName name="_TXX110">'[1]Таблица3 (267)'!$E$8</definedName>
    <definedName name="_TXX3">'[1]Таблица3 (267)'!$E$12</definedName>
    <definedName name="_TXX35">'[1]Таблица3 (267)'!$E$9</definedName>
    <definedName name="_TXX6">'[1]Таблица3 (267)'!$E$11</definedName>
    <definedName name="CHET038">'[1]Таблица3 (267)'!$M$13</definedName>
    <definedName name="CKBK10">'[1]Таблица3 (267)'!$G$10</definedName>
    <definedName name="CKBK110">'[1]Таблица3 (267)'!$G$8</definedName>
    <definedName name="CKBK3">'[1]Таблица3 (267)'!$G$12</definedName>
    <definedName name="CKBK35">'[1]Таблица3 (267)'!$G$9</definedName>
    <definedName name="CKBK6">'[1]Таблица3 (267)'!$G$11</definedName>
    <definedName name="CPPC10">'[1]Таблица3 (267)'!$N$10</definedName>
    <definedName name="CPPC110">'[1]Таблица3 (267)'!$N$8</definedName>
    <definedName name="CPPC3">'[1]Таблица3 (267)'!$N$12</definedName>
    <definedName name="CPPC35">'[1]Таблица3 (267)'!$N$9</definedName>
    <definedName name="CPPC6">'[1]Таблица3 (267)'!$N$11</definedName>
    <definedName name="DPPU038">[1]ДОПУСТИМАЯ_ПОГРЕШНОСТЬ!$M$7</definedName>
    <definedName name="DPPU10">[1]ДОПУСТИМАЯ_ПОГРЕШНОСТЬ!$M$4</definedName>
    <definedName name="DPPU110">[1]ДОПУСТИМАЯ_ПОГРЕШНОСТЬ!$M$1</definedName>
    <definedName name="DPPU3">[1]ДОПУСТИМАЯ_ПОГРЕШНОСТЬ!$M$6</definedName>
    <definedName name="DPPU35">[1]ДОПУСТИМАЯ_ПОГРЕШНОСТЬ!$M$2</definedName>
    <definedName name="DPPU6">[1]ДОПУСТИМАЯ_ПОГРЕШНОСТЬ!$M$5</definedName>
    <definedName name="DPPUCHII">[1]ДОПУСТИМАЯ_ПОГРЕШНОСТЬ!$M$3</definedName>
    <definedName name="IZOL10">'[1]Таблица3 (267)'!$I$10</definedName>
    <definedName name="IZOL110">'[1]Таблица3 (267)'!$I$8</definedName>
    <definedName name="IZOL3">'[1]Таблица3 (267)'!$I$12</definedName>
    <definedName name="IZOL35">'[1]Таблица3 (267)'!$I$9</definedName>
    <definedName name="IZOL6">'[1]Таблица3 (267)'!$I$11</definedName>
    <definedName name="koef1">[1]Сводка!$I$15</definedName>
    <definedName name="koef2">[1]Сводка!$H$15</definedName>
    <definedName name="koef3">[1]Сводка!$G$15</definedName>
    <definedName name="koef4">[1]Сводка!$F$15</definedName>
    <definedName name="Kсумм">[1]Сводка!$C$19</definedName>
    <definedName name="org">[2]НЭСК!$G$18</definedName>
    <definedName name="REAK10">'[1]Таблица3 (267)'!$H$10</definedName>
    <definedName name="REAK110">'[1]Таблица3 (267)'!$H$8</definedName>
    <definedName name="REAK3">'[1]Таблица3 (267)'!$H$12</definedName>
    <definedName name="REAK35">'[1]Таблица3 (267)'!$H$9</definedName>
    <definedName name="REAK6">'[1]Таблица3 (267)'!$H$11</definedName>
    <definedName name="UPVC10">'[1]Таблица3 (267)'!$Q$10</definedName>
    <definedName name="UPVC110">'[1]Таблица3 (267)'!$Q$8</definedName>
    <definedName name="UPVC3">'[1]Таблица3 (267)'!$Q$12</definedName>
    <definedName name="UPVC35">'[1]Таблица3 (267)'!$Q$9</definedName>
    <definedName name="UPVC6">'[1]Таблица3 (267)'!$Q$11</definedName>
    <definedName name="ВНбаз">'[1]Потери по уровню напряжения'!$B$5</definedName>
    <definedName name="ВНрег">'[1]Потери по уровню напряжения'!$F$5</definedName>
    <definedName name="допустимаяпогрешность">'[1]Определение погрешности'!$C$5</definedName>
    <definedName name="ДПбазВН">'[1]Структура потерь'!$D$24</definedName>
    <definedName name="ДПбазНН">'[1]Структура потерь'!$D$70</definedName>
    <definedName name="ДПбазСНI">'[1]Структура потерь'!$D$43</definedName>
    <definedName name="ДПбазСНII">'[1]Структура потерь'!$D$62</definedName>
    <definedName name="ДПрегВН">'[1]Структура потерь'!$G$24</definedName>
    <definedName name="ДПрегНН">'[1]Структура потерь'!$G$70</definedName>
    <definedName name="ДПрегСНI">'[1]Структура потерь'!$G$43</definedName>
    <definedName name="ДПрегСНII">'[1]Структура потерь'!$G$62</definedName>
    <definedName name="коэф">[1]Поступление!$E$1</definedName>
    <definedName name="ННбаз">'[1]Потери по уровню напряжения'!$B$17</definedName>
    <definedName name="ННрег">'[1]Потери по уровню напряжения'!$F$17</definedName>
    <definedName name="НПбазВН">'[1]Структура потерь'!$D$21</definedName>
    <definedName name="НПбазНН">'[1]Структура потерь'!$D$69</definedName>
    <definedName name="НПбазСНI">'[1]Структура потерь'!$D$40</definedName>
    <definedName name="НПбазСНII">'[1]Структура потерь'!$D$59</definedName>
    <definedName name="НПрегВН">'[1]Структура потерь'!$G$21</definedName>
    <definedName name="НПрегНН">'[1]Структура потерь'!$G$69</definedName>
    <definedName name="НПрегСНI">'[1]Структура потерь'!$G$40</definedName>
    <definedName name="НПрегСНII">'[1]Структура потерь'!$G$59</definedName>
    <definedName name="_xlnm.Print_Area" localSheetId="0">'отпуск в сеть и факт. потери'!$A$1:$K$152</definedName>
    <definedName name="ПОКУПКАбаз">'[1]Потери по уровню напряжения'!$B$21</definedName>
    <definedName name="ПОКУПКАрег">'[1]Потери по уровню напряжения'!$F$21</definedName>
    <definedName name="потерибаз">'[1]Структура потерь'!$D$72</definedName>
    <definedName name="потерирег">'[1]Структура потерь'!$G$72</definedName>
    <definedName name="СНIIбаз">'[1]Потери по уровню напряжения'!$B$13</definedName>
    <definedName name="СНIIрег">'[1]Потери по уровню напряжения'!$F$13</definedName>
    <definedName name="СНIбаз">'[1]Потери по уровню напряжения'!$B$9</definedName>
    <definedName name="СНIрег">'[1]Потери по уровню напряжения'!$F$9</definedName>
    <definedName name="ТехПотериБазВН">'[1]Структура потерь'!$D$25</definedName>
    <definedName name="ТехПотериБазНН">'[1]Структура потерь'!$D$71</definedName>
    <definedName name="ТехПотериБазСНI">'[1]Структура потерь'!$D$44</definedName>
    <definedName name="ТехПотериБазСНII">'[1]Структура потерь'!$D$63</definedName>
    <definedName name="ТехПотериРегВН">'[1]Структура потерь'!$G$25</definedName>
    <definedName name="ТехПотериРегНН">'[1]Структура потерь'!$G$71</definedName>
    <definedName name="ТехПотериРегСНI">'[1]Структура потерь'!$G$44</definedName>
    <definedName name="ТехПотериРегСНII">'[1]Структура потерь'!$G$63</definedName>
    <definedName name="УПбазВН">'[1]Структура потерь'!$D$8</definedName>
    <definedName name="УПбазНН">'[1]Структура потерь'!$D$65</definedName>
    <definedName name="УПбазСНI">'[1]Структура потерь'!$D$27</definedName>
    <definedName name="УПбазСНII">'[1]Структура потерь'!$D$46</definedName>
    <definedName name="УПрегВН">'[1]Структура потерь'!$G$8</definedName>
    <definedName name="УПрегНН">'[1]Структура потерь'!$G$65</definedName>
    <definedName name="УПрегСНI">'[1]Структура потерь'!$G$27</definedName>
    <definedName name="УПрегСНII">'[1]Структура потерь'!$G$46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1" i="6" l="1"/>
  <c r="I148" i="6"/>
  <c r="F148" i="6"/>
  <c r="J146" i="6"/>
  <c r="G146" i="6" s="1"/>
  <c r="G145" i="6"/>
  <c r="K144" i="6"/>
  <c r="I144" i="6"/>
  <c r="H144" i="6"/>
  <c r="G143" i="6"/>
  <c r="K142" i="6"/>
  <c r="H142" i="6"/>
  <c r="K141" i="6"/>
  <c r="J141" i="6"/>
  <c r="G141" i="6"/>
  <c r="G140" i="6"/>
  <c r="K139" i="6"/>
  <c r="J139" i="6"/>
  <c r="G139" i="6"/>
  <c r="K138" i="6"/>
  <c r="J138" i="6"/>
  <c r="I138" i="6"/>
  <c r="H138" i="6"/>
  <c r="G138" i="6" s="1"/>
  <c r="G137" i="6"/>
  <c r="K136" i="6"/>
  <c r="G136" i="6"/>
  <c r="K135" i="6"/>
  <c r="J135" i="6"/>
  <c r="I135" i="6"/>
  <c r="H135" i="6"/>
  <c r="G135" i="6" s="1"/>
  <c r="K134" i="6"/>
  <c r="K133" i="6" s="1"/>
  <c r="K132" i="6" s="1"/>
  <c r="J134" i="6"/>
  <c r="G134" i="6"/>
  <c r="J133" i="6"/>
  <c r="J132" i="6" s="1"/>
  <c r="I133" i="6"/>
  <c r="H133" i="6"/>
  <c r="G133" i="6" s="1"/>
  <c r="I132" i="6"/>
  <c r="K131" i="6"/>
  <c r="J131" i="6"/>
  <c r="G131" i="6" s="1"/>
  <c r="G130" i="6"/>
  <c r="K129" i="6"/>
  <c r="J129" i="6"/>
  <c r="G129" i="6" s="1"/>
  <c r="K128" i="6"/>
  <c r="I128" i="6"/>
  <c r="H128" i="6"/>
  <c r="K127" i="6"/>
  <c r="J127" i="6"/>
  <c r="G127" i="6" s="1"/>
  <c r="K126" i="6"/>
  <c r="I126" i="6"/>
  <c r="H126" i="6"/>
  <c r="J124" i="6"/>
  <c r="G124" i="6"/>
  <c r="G123" i="6"/>
  <c r="K122" i="6"/>
  <c r="J122" i="6"/>
  <c r="I122" i="6"/>
  <c r="G122" i="6" s="1"/>
  <c r="H122" i="6"/>
  <c r="G121" i="6"/>
  <c r="K120" i="6"/>
  <c r="J120" i="6"/>
  <c r="H120" i="6"/>
  <c r="K119" i="6"/>
  <c r="J119" i="6"/>
  <c r="J116" i="6" s="1"/>
  <c r="G116" i="6" s="1"/>
  <c r="G118" i="6"/>
  <c r="K117" i="6"/>
  <c r="J117" i="6"/>
  <c r="G117" i="6" s="1"/>
  <c r="K116" i="6"/>
  <c r="I116" i="6"/>
  <c r="H116" i="6"/>
  <c r="K115" i="6"/>
  <c r="G115" i="6"/>
  <c r="G114" i="6"/>
  <c r="K113" i="6"/>
  <c r="G113" i="6" s="1"/>
  <c r="K112" i="6"/>
  <c r="G112" i="6" s="1"/>
  <c r="G111" i="6"/>
  <c r="G110" i="6"/>
  <c r="K109" i="6"/>
  <c r="J109" i="6"/>
  <c r="I109" i="6"/>
  <c r="G109" i="6" s="1"/>
  <c r="H109" i="6"/>
  <c r="G108" i="6"/>
  <c r="K107" i="6"/>
  <c r="G107" i="6" s="1"/>
  <c r="J106" i="6"/>
  <c r="I106" i="6"/>
  <c r="H106" i="6"/>
  <c r="G105" i="6"/>
  <c r="K104" i="6"/>
  <c r="G104" i="6" s="1"/>
  <c r="J103" i="6"/>
  <c r="I103" i="6"/>
  <c r="I102" i="6" s="1"/>
  <c r="I100" i="6" s="1"/>
  <c r="I99" i="6" s="1"/>
  <c r="H103" i="6"/>
  <c r="J102" i="6"/>
  <c r="J100" i="6" s="1"/>
  <c r="J99" i="6" s="1"/>
  <c r="H102" i="6"/>
  <c r="K101" i="6"/>
  <c r="G101" i="6" s="1"/>
  <c r="J101" i="6"/>
  <c r="H100" i="6"/>
  <c r="K98" i="6"/>
  <c r="J98" i="6"/>
  <c r="J95" i="6" s="1"/>
  <c r="G95" i="6" s="1"/>
  <c r="G97" i="6"/>
  <c r="K96" i="6"/>
  <c r="J96" i="6"/>
  <c r="G96" i="6" s="1"/>
  <c r="K95" i="6"/>
  <c r="I95" i="6"/>
  <c r="H95" i="6"/>
  <c r="I93" i="6"/>
  <c r="H93" i="6"/>
  <c r="G91" i="6"/>
  <c r="G90" i="6"/>
  <c r="J89" i="6"/>
  <c r="G89" i="6"/>
  <c r="K86" i="6"/>
  <c r="J86" i="6"/>
  <c r="I86" i="6"/>
  <c r="G86" i="6" s="1"/>
  <c r="H86" i="6"/>
  <c r="G85" i="6"/>
  <c r="G84" i="6"/>
  <c r="G83" i="6"/>
  <c r="G82" i="6"/>
  <c r="G81" i="6"/>
  <c r="G80" i="6"/>
  <c r="G79" i="6"/>
  <c r="K76" i="6"/>
  <c r="J76" i="6"/>
  <c r="I76" i="6"/>
  <c r="G76" i="6" s="1"/>
  <c r="H76" i="6"/>
  <c r="G75" i="6"/>
  <c r="G74" i="6"/>
  <c r="G73" i="6"/>
  <c r="G72" i="6"/>
  <c r="G71" i="6"/>
  <c r="K70" i="6"/>
  <c r="J70" i="6"/>
  <c r="H70" i="6"/>
  <c r="G69" i="6"/>
  <c r="G68" i="6"/>
  <c r="G67" i="6"/>
  <c r="G66" i="6"/>
  <c r="G65" i="6"/>
  <c r="K64" i="6"/>
  <c r="J64" i="6"/>
  <c r="I64" i="6"/>
  <c r="G64" i="6" s="1"/>
  <c r="H64" i="6"/>
  <c r="K61" i="6"/>
  <c r="J61" i="6"/>
  <c r="I61" i="6"/>
  <c r="H61" i="6"/>
  <c r="G61" i="6" s="1"/>
  <c r="K58" i="6"/>
  <c r="K53" i="6" s="1"/>
  <c r="K87" i="6" s="1"/>
  <c r="J58" i="6"/>
  <c r="I58" i="6"/>
  <c r="H58" i="6"/>
  <c r="G58" i="6"/>
  <c r="K55" i="6"/>
  <c r="J55" i="6"/>
  <c r="I55" i="6"/>
  <c r="H55" i="6"/>
  <c r="G55" i="6" s="1"/>
  <c r="G54" i="6"/>
  <c r="J53" i="6"/>
  <c r="J87" i="6" s="1"/>
  <c r="I53" i="6"/>
  <c r="I50" i="6"/>
  <c r="H50" i="6"/>
  <c r="J49" i="6"/>
  <c r="G49" i="6" s="1"/>
  <c r="G48" i="6"/>
  <c r="K47" i="6"/>
  <c r="K50" i="6" s="1"/>
  <c r="J47" i="6"/>
  <c r="J50" i="6" s="1"/>
  <c r="G46" i="6"/>
  <c r="G45" i="6"/>
  <c r="G44" i="6"/>
  <c r="K43" i="6"/>
  <c r="G43" i="6"/>
  <c r="J41" i="6"/>
  <c r="G41" i="6"/>
  <c r="K39" i="6"/>
  <c r="J39" i="6"/>
  <c r="J33" i="6" s="1"/>
  <c r="I39" i="6"/>
  <c r="H39" i="6"/>
  <c r="G39" i="6" s="1"/>
  <c r="G38" i="6"/>
  <c r="G37" i="6"/>
  <c r="K36" i="6"/>
  <c r="J36" i="6"/>
  <c r="G36" i="6"/>
  <c r="G35" i="6"/>
  <c r="K34" i="6"/>
  <c r="K94" i="6" s="1"/>
  <c r="K93" i="6" s="1"/>
  <c r="J34" i="6"/>
  <c r="J94" i="6" s="1"/>
  <c r="G34" i="6"/>
  <c r="I33" i="6"/>
  <c r="H33" i="6"/>
  <c r="G32" i="6"/>
  <c r="G31" i="6"/>
  <c r="G30" i="6"/>
  <c r="G29" i="6"/>
  <c r="G28" i="6"/>
  <c r="K27" i="6"/>
  <c r="J27" i="6"/>
  <c r="G27" i="6" s="1"/>
  <c r="I27" i="6"/>
  <c r="H27" i="6"/>
  <c r="K24" i="6"/>
  <c r="J24" i="6"/>
  <c r="I24" i="6"/>
  <c r="H24" i="6"/>
  <c r="G24" i="6"/>
  <c r="K21" i="6"/>
  <c r="J21" i="6"/>
  <c r="I21" i="6"/>
  <c r="H21" i="6"/>
  <c r="G21" i="6" s="1"/>
  <c r="J19" i="6"/>
  <c r="J17" i="6" s="1"/>
  <c r="K17" i="6"/>
  <c r="K15" i="6" s="1"/>
  <c r="I17" i="6"/>
  <c r="H17" i="6"/>
  <c r="J16" i="6"/>
  <c r="G16" i="6"/>
  <c r="I15" i="6"/>
  <c r="I51" i="6" s="1"/>
  <c r="D9" i="6"/>
  <c r="G126" i="6" l="1"/>
  <c r="J15" i="6"/>
  <c r="J51" i="6" s="1"/>
  <c r="G17" i="6"/>
  <c r="G50" i="6"/>
  <c r="J93" i="6"/>
  <c r="G93" i="6" s="1"/>
  <c r="G94" i="6"/>
  <c r="G19" i="6"/>
  <c r="G47" i="6"/>
  <c r="G98" i="6"/>
  <c r="H99" i="6"/>
  <c r="K100" i="6"/>
  <c r="K99" i="6" s="1"/>
  <c r="G119" i="6"/>
  <c r="J126" i="6"/>
  <c r="J128" i="6"/>
  <c r="G128" i="6" s="1"/>
  <c r="I142" i="6"/>
  <c r="G142" i="6" s="1"/>
  <c r="J144" i="6"/>
  <c r="J142" i="6" s="1"/>
  <c r="H15" i="6"/>
  <c r="H53" i="6"/>
  <c r="I70" i="6"/>
  <c r="G70" i="6" s="1"/>
  <c r="K103" i="6"/>
  <c r="K102" i="6" s="1"/>
  <c r="G102" i="6" s="1"/>
  <c r="K106" i="6"/>
  <c r="G106" i="6" s="1"/>
  <c r="I120" i="6"/>
  <c r="G120" i="6" s="1"/>
  <c r="K33" i="6"/>
  <c r="K51" i="6" s="1"/>
  <c r="H132" i="6"/>
  <c r="G132" i="6" s="1"/>
  <c r="G53" i="6" l="1"/>
  <c r="H87" i="6"/>
  <c r="G99" i="6"/>
  <c r="I87" i="6"/>
  <c r="H51" i="6"/>
  <c r="G51" i="6" s="1"/>
  <c r="G15" i="6"/>
  <c r="G33" i="6"/>
  <c r="G103" i="6"/>
  <c r="G100" i="6"/>
  <c r="G144" i="6"/>
  <c r="G87" i="6" l="1"/>
</calcChain>
</file>

<file path=xl/sharedStrings.xml><?xml version="1.0" encoding="utf-8"?>
<sst xmlns="http://schemas.openxmlformats.org/spreadsheetml/2006/main" count="404" uniqueCount="335">
  <si>
    <t>ВН</t>
  </si>
  <si>
    <t>НН</t>
  </si>
  <si>
    <t>Всего</t>
  </si>
  <si>
    <t>L1</t>
  </si>
  <si>
    <t>L1.1</t>
  </si>
  <si>
    <t>L1.2</t>
  </si>
  <si>
    <t>L2</t>
  </si>
  <si>
    <t>L2.1</t>
  </si>
  <si>
    <t>L2.2</t>
  </si>
  <si>
    <t>L3</t>
  </si>
  <si>
    <t>L3.1</t>
  </si>
  <si>
    <t>L3.2</t>
  </si>
  <si>
    <t>L4.1</t>
  </si>
  <si>
    <t>L4.2</t>
  </si>
  <si>
    <t>Коды по ОКЕИ: 1000 киловатт-часов – 246, мегаватт – 215, тысяча рублей – 384</t>
  </si>
  <si>
    <t>Наименование показателя</t>
  </si>
  <si>
    <t>Код строки</t>
  </si>
  <si>
    <t>В том числе по уровню напряжения</t>
  </si>
  <si>
    <t>СН1</t>
  </si>
  <si>
    <t>СН2</t>
  </si>
  <si>
    <t>Поступление в сеть из других уровней напряжения (трансформация)</t>
  </si>
  <si>
    <t xml:space="preserve">НН </t>
  </si>
  <si>
    <t>Отпуск в сеть других уровней напряжения</t>
  </si>
  <si>
    <t>Хозяйственные нужды организации</t>
  </si>
  <si>
    <t>Генерация на установках организации (совмещение деятельности)</t>
  </si>
  <si>
    <t>Собственное потребление (совмещение деятельности)</t>
  </si>
  <si>
    <t>Небаланс</t>
  </si>
  <si>
    <t>Заявленная мощность</t>
  </si>
  <si>
    <t>Максимальная мощность</t>
  </si>
  <si>
    <t>Резервируемая мощность</t>
  </si>
  <si>
    <t>по одноставочному тарифу</t>
  </si>
  <si>
    <t>мощность</t>
  </si>
  <si>
    <t>компенсация потерь</t>
  </si>
  <si>
    <t>(Ф.И.О.)</t>
  </si>
  <si>
    <t>(подпись)</t>
  </si>
  <si>
    <t>(должность)</t>
  </si>
  <si>
    <t>«____» _________20__ год</t>
  </si>
  <si>
    <t>(номер контактного телефона)</t>
  </si>
  <si>
    <t>(дата составления документа)</t>
  </si>
  <si>
    <t>№ п/п</t>
  </si>
  <si>
    <t>I. Электроэнергия (тыс. кВт ч)</t>
  </si>
  <si>
    <t>1</t>
  </si>
  <si>
    <t>Поступление в сеть из других организаций:</t>
  </si>
  <si>
    <t>1.1</t>
  </si>
  <si>
    <t>из сетей ПАО "ФСК ЕЭС"</t>
  </si>
  <si>
    <t>1.2</t>
  </si>
  <si>
    <t>от генерирующих компаний и блок-станций:</t>
  </si>
  <si>
    <t>1.2.0</t>
  </si>
  <si>
    <t>30</t>
  </si>
  <si>
    <t>Добавить организацию</t>
  </si>
  <si>
    <t>1.3</t>
  </si>
  <si>
    <t>от несетевых организаций:</t>
  </si>
  <si>
    <t>230</t>
  </si>
  <si>
    <t>1.3.0</t>
  </si>
  <si>
    <t>1.4</t>
  </si>
  <si>
    <t>от смежных сетевых организаций:</t>
  </si>
  <si>
    <t>430</t>
  </si>
  <si>
    <t>1.4.0</t>
  </si>
  <si>
    <t>О</t>
  </si>
  <si>
    <t>2</t>
  </si>
  <si>
    <t>630</t>
  </si>
  <si>
    <t>2.1</t>
  </si>
  <si>
    <t>640</t>
  </si>
  <si>
    <t>2.2</t>
  </si>
  <si>
    <t>650</t>
  </si>
  <si>
    <t>2.3</t>
  </si>
  <si>
    <t>660</t>
  </si>
  <si>
    <t>2.4</t>
  </si>
  <si>
    <t>670</t>
  </si>
  <si>
    <t>3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</si>
  <si>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</si>
  <si>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</si>
  <si>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</si>
  <si>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</si>
  <si>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</si>
  <si>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энергии, в том числе:</t>
  </si>
  <si>
    <t>700</t>
  </si>
  <si>
    <t>4.1.1</t>
  </si>
  <si>
    <t>потребителям, опосредованно подключенным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</si>
  <si>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</si>
  <si>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</si>
  <si>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</si>
  <si>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</si>
  <si>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</si>
  <si>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</si>
  <si>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</si>
  <si>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</si>
  <si>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740</t>
  </si>
  <si>
    <t>4.3</t>
  </si>
  <si>
    <t>смежным сетевым организациям:</t>
  </si>
  <si>
    <t>750</t>
  </si>
  <si>
    <t>4.3.0</t>
  </si>
  <si>
    <t>4.4</t>
  </si>
  <si>
    <t>населению и приравненным к нему категориям</t>
  </si>
  <si>
    <t>950</t>
  </si>
  <si>
    <t>5</t>
  </si>
  <si>
    <t>960</t>
  </si>
  <si>
    <t>6</t>
  </si>
  <si>
    <t>970</t>
  </si>
  <si>
    <t>7</t>
  </si>
  <si>
    <t>980</t>
  </si>
  <si>
    <t>8</t>
  </si>
  <si>
    <t>Общий объем потерь (фактические объемы),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</si>
  <si>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</si>
  <si>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</si>
  <si>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</si>
  <si>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</si>
  <si>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</si>
  <si>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(объемы потерь учтенные в сводном прогнозном балансе)</t>
  </si>
  <si>
    <t>1010</t>
  </si>
  <si>
    <t>10</t>
  </si>
  <si>
    <t>Объем превышения фактических объемов потерь электрической энергии над объемами потерь, учтенными в сводном прогнозном балансе за соответствующий расчетный период</t>
  </si>
  <si>
    <t>1020</t>
  </si>
  <si>
    <t>11</t>
  </si>
  <si>
    <t>1030</t>
  </si>
  <si>
    <t>II. Мощность (МВт)</t>
  </si>
  <si>
    <t>12</t>
  </si>
  <si>
    <t>1040</t>
  </si>
  <si>
    <t>12.1</t>
  </si>
  <si>
    <t>1050</t>
  </si>
  <si>
    <t>12.2</t>
  </si>
  <si>
    <t>1060</t>
  </si>
  <si>
    <t>12.2.0</t>
  </si>
  <si>
    <t>12.3</t>
  </si>
  <si>
    <t>1260</t>
  </si>
  <si>
    <t>12.3.0</t>
  </si>
  <si>
    <t>12.4</t>
  </si>
  <si>
    <t>1460</t>
  </si>
  <si>
    <t>12.4.0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</si>
  <si>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</si>
  <si>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</si>
  <si>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</si>
  <si>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</si>
  <si>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</si>
  <si>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</si>
  <si>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</si>
  <si>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</si>
  <si>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</si>
  <si>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</si>
  <si>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</si>
  <si>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</si>
  <si>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</si>
  <si>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</si>
  <si>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</si>
  <si>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</si>
  <si>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</si>
  <si>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</si>
  <si>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</si>
  <si>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</si>
  <si>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</si>
  <si>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</si>
  <si>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</si>
  <si>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</si>
  <si>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</si>
  <si>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</si>
  <si>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15.3.0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</si>
  <si>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</si>
  <si>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</si>
  <si>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</si>
  <si>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</si>
  <si>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</si>
  <si>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</si>
  <si>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</si>
  <si>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</si>
  <si>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</si>
  <si>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</si>
  <si>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</si>
  <si>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</si>
  <si>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</si>
  <si>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</si>
  <si>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</si>
  <si>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</si>
  <si>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</si>
  <si>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</si>
  <si>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</si>
  <si>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 (МВт)</t>
  </si>
  <si>
    <t>23</t>
  </si>
  <si>
    <t>2070</t>
  </si>
  <si>
    <t>24</t>
  </si>
  <si>
    <t>2080</t>
  </si>
  <si>
    <t>25</t>
  </si>
  <si>
    <t>2090</t>
  </si>
  <si>
    <t>IV. Фактический полезный отпуск конечным потребителям (тыс. кВт ч; МВт)</t>
  </si>
  <si>
    <t>26</t>
  </si>
  <si>
    <t>Полезный отпуск конечным потребителям (тыс. кВт ч):</t>
  </si>
  <si>
    <t>2100</t>
  </si>
  <si>
    <t>26.1</t>
  </si>
  <si>
    <t>2110</t>
  </si>
  <si>
    <t>26.2</t>
  </si>
  <si>
    <t>по двухставочному тарифу:</t>
  </si>
  <si>
    <t>2120</t>
  </si>
  <si>
    <t>26.2.1</t>
  </si>
  <si>
    <t>мощность (МВт), в том числе:</t>
  </si>
  <si>
    <t>2130</t>
  </si>
  <si>
    <t>26.2.1.1</t>
  </si>
  <si>
    <t>опосредованно подключенным к шинам генераторов (МВт)</t>
  </si>
  <si>
    <t>2140</t>
  </si>
  <si>
    <t>26.2.2</t>
  </si>
  <si>
    <t>компенсация потерь (тыс. кВт ч)</t>
  </si>
  <si>
    <t>2150</t>
  </si>
  <si>
    <t>27</t>
  </si>
  <si>
    <t>Полезный отпуск потребителям ГП, ЭСО (тыс. кВт ч):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</si>
  <si>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</si>
  <si>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</si>
  <si>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</si>
  <si>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</si>
  <si>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</si>
  <si>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</si>
  <si>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</si>
  <si>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</si>
  <si>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</si>
  <si>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</si>
  <si>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</si>
  <si>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</si>
  <si>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</si>
  <si>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</si>
  <si>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</si>
  <si>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</si>
  <si>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</si>
  <si>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</si>
  <si>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</si>
  <si>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</si>
  <si>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</si>
  <si>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</si>
  <si>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</si>
  <si>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</si>
  <si>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</si>
  <si>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</si>
  <si>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</si>
  <si>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</si>
  <si>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</si>
  <si>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</si>
  <si>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</si>
  <si>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</si>
  <si>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</si>
  <si>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</si>
  <si>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</si>
  <si>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</si>
  <si>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</si>
  <si>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</si>
  <si>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</si>
  <si>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</si>
  <si>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</si>
  <si>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</si>
  <si>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</si>
  <si>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</si>
  <si>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</si>
  <si>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</si>
  <si>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</si>
  <si>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</si>
  <si>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</si>
  <si>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</si>
  <si>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</si>
  <si>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 xml:space="preserve"> опосредованно подключенным к шинам генераторов (МВт)</t>
  </si>
  <si>
    <t>2350</t>
  </si>
  <si>
    <t>27.2.2</t>
  </si>
  <si>
    <t>2360</t>
  </si>
  <si>
    <t>28</t>
  </si>
  <si>
    <t>Оплачиваемый сетевыми организациями объем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</si>
  <si>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</si>
  <si>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</si>
  <si>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</si>
  <si>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</si>
  <si>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</si>
  <si>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</si>
  <si>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 (МВт)</t>
  </si>
  <si>
    <t>2400</t>
  </si>
  <si>
    <t>28.2.2</t>
  </si>
  <si>
    <t>2410</t>
  </si>
  <si>
    <t>V. Стоимость услуг (тыс. руб.)</t>
  </si>
  <si>
    <t>29</t>
  </si>
  <si>
    <t>Стоимость услуг, оплачиваемая потребителями (конечными потребителями по прямым договорам и ТСО):</t>
  </si>
  <si>
    <t>2420</t>
  </si>
  <si>
    <t>29.1</t>
  </si>
  <si>
    <t>2430</t>
  </si>
  <si>
    <t>29.2</t>
  </si>
  <si>
    <t>2440</t>
  </si>
  <si>
    <t>29.2.1</t>
  </si>
  <si>
    <t>мощность, в том числе: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</si>
  <si>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</si>
  <si>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</si>
  <si>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</si>
  <si>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</si>
  <si>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</si>
  <si>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</si>
  <si>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</si>
  <si>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</si>
  <si>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</si>
  <si>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</si>
  <si>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</si>
  <si>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</si>
  <si>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</si>
  <si>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</si>
  <si>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</si>
  <si>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</si>
  <si>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</si>
  <si>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</si>
  <si>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</si>
  <si>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</si>
  <si>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</si>
  <si>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</si>
  <si>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</si>
  <si>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</si>
  <si>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</si>
  <si>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</si>
  <si>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</si>
  <si>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</si>
  <si>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</si>
  <si>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</si>
  <si>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</si>
  <si>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</si>
  <si>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</si>
  <si>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</si>
  <si>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</si>
  <si>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</si>
  <si>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920</t>
  </si>
  <si>
    <t>31.2.2</t>
  </si>
  <si>
    <t>2620</t>
  </si>
  <si>
    <t>910</t>
  </si>
  <si>
    <t>Должностное лицо, ответственное за</t>
  </si>
  <si>
    <t>предоставление статистической информации</t>
  </si>
  <si>
    <t>(лицо, уполномоченное предоставлять</t>
  </si>
  <si>
    <t>статистическую информацию от имени</t>
  </si>
  <si>
    <t>юридического лица)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</si>
  <si>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</si>
  <si>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1.2.1</t>
  </si>
  <si>
    <t>АО "Группа "Илим"</t>
  </si>
  <si>
    <t>7840346335</t>
  </si>
  <si>
    <t>290502001</t>
  </si>
  <si>
    <t>26361132</t>
  </si>
  <si>
    <t>4.3.1</t>
  </si>
  <si>
    <t>ООО "СельЭнерго"</t>
  </si>
  <si>
    <t>2901288839</t>
  </si>
  <si>
    <t>290101001</t>
  </si>
  <si>
    <t>31023221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</si>
</sst>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р_._-;\-* #,##0_р_._-;_-* &quot;-&quot;_р_._-;_-@_-"/>
    <numFmt numFmtId="165" formatCode="_-* #,##0.00_р_._-;\-* #,##0.00_р_._-;_-* &quot;-&quot;??_р_._-;_-@_-"/>
    <numFmt numFmtId="166" formatCode="#,##0.0000"/>
    <numFmt numFmtId="167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indexed="63"/>
      <name val="Tahoma"/>
      <family val="2"/>
      <charset val="204"/>
    </font>
    <font>
      <b/>
      <sz val="9"/>
      <color indexed="63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10"/>
      <name val="Tahoma"/>
      <family val="2"/>
      <charset val="204"/>
    </font>
    <font>
      <sz val="9"/>
      <color indexed="23"/>
      <name val="Tahoma"/>
      <family val="2"/>
      <charset val="204"/>
    </font>
    <font>
      <sz val="9"/>
      <color theme="0"/>
      <name val="Tahoma"/>
      <family val="2"/>
      <charset val="204"/>
    </font>
    <font>
      <b/>
      <sz val="9"/>
      <color indexed="62"/>
      <name val="Tahoma"/>
      <family val="2"/>
      <charset val="204"/>
    </font>
    <font>
      <sz val="11"/>
      <color indexed="22"/>
      <name val="Wingdings 2"/>
      <family val="1"/>
      <charset val="2"/>
    </font>
    <font>
      <sz val="10"/>
      <color theme="0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Down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49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7">
    <xf numFmtId="0" fontId="0" fillId="0" borderId="0" xfId="0"/>
    <xf numFmtId="49" fontId="2" fillId="0" borderId="2" xfId="44" applyFont="1" applyBorder="1" applyAlignment="1">
      <alignment horizontal="center" vertical="center" wrapText="1"/>
    </xf>
    <xf numFmtId="49" fontId="2" fillId="0" borderId="0" xfId="44" applyFont="1" applyBorder="1" applyAlignment="1">
      <alignment horizontal="right" vertical="center"/>
    </xf>
    <xf numFmtId="49" fontId="2" fillId="5" borderId="2" xfId="44" applyFont="1" applyFill="1" applyBorder="1" applyAlignment="1">
      <alignment vertical="center" wrapText="1"/>
    </xf>
    <xf numFmtId="49" fontId="8" fillId="0" borderId="0" xfId="44" applyFont="1" applyBorder="1" applyAlignment="1">
      <alignment horizontal="center" vertical="center" wrapText="1"/>
    </xf>
    <xf numFmtId="49" fontId="2" fillId="0" borderId="2" xfId="44" applyFont="1" applyBorder="1" applyAlignment="1">
      <alignment horizontal="left" vertical="center" wrapText="1" indent="1"/>
    </xf>
    <xf numFmtId="167" fontId="2" fillId="2" borderId="2" xfId="44" applyNumberFormat="1" applyFont="1" applyFill="1" applyBorder="1" applyAlignment="1" applyProtection="1">
      <alignment horizontal="right" vertical="center"/>
      <protection locked="0"/>
    </xf>
    <xf numFmtId="0" fontId="2" fillId="0" borderId="9" xfId="44" applyNumberFormat="1" applyFont="1" applyBorder="1" applyAlignment="1">
      <alignment horizontal="center" vertical="center" wrapText="1"/>
    </xf>
    <xf numFmtId="167" fontId="2" fillId="2" borderId="9" xfId="44" applyNumberFormat="1" applyFont="1" applyFill="1" applyBorder="1" applyAlignment="1" applyProtection="1">
      <alignment horizontal="right" vertical="center"/>
      <protection locked="0"/>
    </xf>
    <xf numFmtId="167" fontId="2" fillId="2" borderId="10" xfId="44" applyNumberFormat="1" applyFont="1" applyFill="1" applyBorder="1" applyAlignment="1" applyProtection="1">
      <alignment horizontal="right" vertical="center"/>
      <protection locked="0"/>
    </xf>
    <xf numFmtId="49" fontId="2" fillId="5" borderId="2" xfId="44" applyFont="1" applyFill="1" applyBorder="1" applyAlignment="1">
      <alignment horizontal="left" vertical="center" wrapText="1"/>
    </xf>
    <xf numFmtId="49" fontId="2" fillId="0" borderId="2" xfId="44" applyFont="1" applyBorder="1" applyAlignment="1">
      <alignment horizontal="left" vertical="center" wrapText="1" indent="2"/>
    </xf>
    <xf numFmtId="49" fontId="2" fillId="0" borderId="2" xfId="44" applyFont="1" applyBorder="1" applyAlignment="1">
      <alignment horizontal="left" vertical="center" wrapText="1" indent="3"/>
    </xf>
    <xf numFmtId="167" fontId="2" fillId="2" borderId="2" xfId="41" applyNumberFormat="1" applyFont="1" applyFill="1" applyBorder="1" applyAlignment="1" applyProtection="1">
      <alignment horizontal="right" vertical="center"/>
      <protection locked="0"/>
    </xf>
    <xf numFmtId="49" fontId="2" fillId="0" borderId="2" xfId="44" applyFont="1" applyBorder="1" applyAlignment="1">
      <alignment horizontal="left" vertical="center" wrapText="1" indent="4"/>
    </xf>
    <xf numFmtId="167" fontId="2" fillId="2" borderId="2" xfId="46" applyNumberFormat="1" applyFont="1" applyFill="1" applyBorder="1" applyAlignment="1" applyProtection="1">
      <alignment horizontal="right" vertical="center"/>
      <protection locked="0"/>
    </xf>
    <xf numFmtId="167" fontId="2" fillId="2" borderId="2" xfId="41" applyNumberFormat="1" applyFont="1" applyFill="1" applyBorder="1" applyAlignment="1" applyProtection="1">
      <alignment horizontal="right" vertical="center" wrapText="1"/>
      <protection locked="0"/>
    </xf>
    <xf numFmtId="167" fontId="2" fillId="2" borderId="10" xfId="41" applyNumberFormat="1" applyFont="1" applyFill="1" applyBorder="1" applyAlignment="1" applyProtection="1">
      <alignment horizontal="right" vertical="center" wrapText="1"/>
      <protection locked="0"/>
    </xf>
    <xf numFmtId="49" fontId="2" fillId="4" borderId="9" xfId="44" applyFont="1" applyFill="1" applyBorder="1" applyAlignment="1">
      <alignment horizontal="center" vertical="center"/>
    </xf>
    <xf numFmtId="49" fontId="2" fillId="4" borderId="11" xfId="44" applyFont="1" applyFill="1" applyBorder="1" applyAlignment="1">
      <alignment horizontal="center" vertical="center"/>
    </xf>
    <xf numFmtId="49" fontId="2" fillId="4" borderId="12" xfId="44" applyFont="1" applyFill="1" applyBorder="1" applyAlignment="1">
      <alignment horizontal="center" vertical="center"/>
    </xf>
    <xf numFmtId="0" fontId="2" fillId="0" borderId="0" xfId="41" applyFont="1" applyAlignment="1">
      <alignment vertical="center"/>
    </xf>
    <xf numFmtId="0" fontId="2" fillId="0" borderId="0" xfId="41" applyFont="1" applyAlignment="1">
      <alignment horizontal="left" vertical="center" indent="1"/>
    </xf>
    <xf numFmtId="0" fontId="2" fillId="0" borderId="0" xfId="42" applyFont="1" applyAlignment="1">
      <alignment vertical="center"/>
    </xf>
    <xf numFmtId="49" fontId="2" fillId="0" borderId="0" xfId="41" applyNumberFormat="1" applyFont="1" applyAlignment="1">
      <alignment vertical="center"/>
    </xf>
    <xf numFmtId="0" fontId="3" fillId="0" borderId="0" xfId="41" applyFont="1" applyAlignment="1">
      <alignment horizontal="right" vertical="center"/>
    </xf>
    <xf numFmtId="0" fontId="3" fillId="0" borderId="0" xfId="41" applyFont="1" applyAlignment="1">
      <alignment horizontal="center" vertical="center"/>
    </xf>
    <xf numFmtId="0" fontId="3" fillId="0" borderId="1" xfId="43" applyFont="1" applyBorder="1" applyAlignment="1">
      <alignment horizontal="left" vertical="center" wrapText="1"/>
    </xf>
    <xf numFmtId="0" fontId="2" fillId="0" borderId="6" xfId="43" applyFont="1" applyBorder="1" applyAlignment="1">
      <alignment horizontal="left" vertical="center"/>
    </xf>
    <xf numFmtId="0" fontId="2" fillId="0" borderId="1" xfId="41" applyFont="1" applyBorder="1" applyAlignment="1">
      <alignment vertical="center"/>
    </xf>
    <xf numFmtId="0" fontId="2" fillId="0" borderId="7" xfId="41" applyFont="1" applyBorder="1" applyAlignment="1">
      <alignment horizontal="center" vertical="center" wrapText="1"/>
    </xf>
    <xf numFmtId="0" fontId="2" fillId="0" borderId="2" xfId="45" applyFont="1" applyBorder="1" applyAlignment="1">
      <alignment horizontal="center" vertical="center" wrapText="1"/>
    </xf>
    <xf numFmtId="0" fontId="2" fillId="0" borderId="7" xfId="45" applyFont="1" applyBorder="1" applyAlignment="1">
      <alignment horizontal="center" vertical="center" wrapText="1"/>
    </xf>
    <xf numFmtId="0" fontId="2" fillId="0" borderId="3" xfId="41" applyFont="1" applyBorder="1" applyAlignment="1">
      <alignment vertical="center"/>
    </xf>
    <xf numFmtId="0" fontId="2" fillId="0" borderId="8" xfId="41" applyFont="1" applyBorder="1" applyAlignment="1">
      <alignment horizontal="center" vertical="center" wrapText="1"/>
    </xf>
    <xf numFmtId="0" fontId="2" fillId="0" borderId="9" xfId="45" applyFont="1" applyBorder="1" applyAlignment="1">
      <alignment horizontal="center" vertical="center" wrapText="1"/>
    </xf>
    <xf numFmtId="0" fontId="2" fillId="0" borderId="9" xfId="45" applyFont="1" applyBorder="1" applyAlignment="1">
      <alignment horizontal="center" vertical="center" wrapText="1"/>
    </xf>
    <xf numFmtId="0" fontId="2" fillId="0" borderId="10" xfId="45" applyFont="1" applyBorder="1" applyAlignment="1">
      <alignment horizontal="center" vertical="center" wrapText="1"/>
    </xf>
    <xf numFmtId="0" fontId="7" fillId="0" borderId="0" xfId="41" applyFont="1" applyAlignment="1">
      <alignment horizontal="center" vertical="center" wrapText="1"/>
    </xf>
    <xf numFmtId="49" fontId="2" fillId="0" borderId="0" xfId="44" applyFont="1" applyAlignment="1">
      <alignment vertical="center"/>
    </xf>
    <xf numFmtId="49" fontId="2" fillId="0" borderId="0" xfId="44" applyFont="1" applyBorder="1" applyAlignment="1">
      <alignment vertical="center"/>
    </xf>
    <xf numFmtId="49" fontId="2" fillId="0" borderId="3" xfId="44" applyFont="1" applyBorder="1" applyAlignment="1">
      <alignment vertical="center"/>
    </xf>
    <xf numFmtId="49" fontId="2" fillId="0" borderId="10" xfId="44" applyFont="1" applyBorder="1" applyAlignment="1">
      <alignment vertical="center"/>
    </xf>
    <xf numFmtId="167" fontId="2" fillId="3" borderId="2" xfId="44" applyNumberFormat="1" applyFont="1" applyFill="1" applyBorder="1" applyAlignment="1">
      <alignment horizontal="right" vertical="center"/>
    </xf>
    <xf numFmtId="0" fontId="6" fillId="0" borderId="0" xfId="41" applyFont="1"/>
    <xf numFmtId="49" fontId="8" fillId="0" borderId="9" xfId="44" applyFont="1" applyBorder="1" applyAlignment="1">
      <alignment vertical="center"/>
    </xf>
    <xf numFmtId="49" fontId="2" fillId="0" borderId="1" xfId="44" applyFont="1" applyBorder="1" applyAlignment="1">
      <alignment horizontal="left" vertical="center" wrapText="1" indent="1"/>
    </xf>
    <xf numFmtId="49" fontId="8" fillId="0" borderId="1" xfId="44" applyFont="1" applyBorder="1" applyAlignment="1">
      <alignment horizontal="center" vertical="center" wrapText="1"/>
    </xf>
    <xf numFmtId="166" fontId="2" fillId="0" borderId="1" xfId="44" applyNumberFormat="1" applyFont="1" applyBorder="1" applyAlignment="1">
      <alignment horizontal="right" vertical="center"/>
    </xf>
    <xf numFmtId="0" fontId="10" fillId="7" borderId="0" xfId="47" applyFont="1" applyFill="1" applyAlignment="1">
      <alignment horizontal="center" vertical="center" wrapText="1"/>
    </xf>
    <xf numFmtId="0" fontId="2" fillId="7" borderId="9" xfId="47" applyFont="1" applyFill="1" applyBorder="1" applyAlignment="1">
      <alignment horizontal="left" vertical="center"/>
    </xf>
    <xf numFmtId="0" fontId="0" fillId="8" borderId="10" xfId="48" applyFont="1" applyFill="1" applyBorder="1" applyAlignment="1">
      <alignment horizontal="left" vertical="center" wrapText="1" indent="2"/>
    </xf>
    <xf numFmtId="167" fontId="2" fillId="3" borderId="9" xfId="44" applyNumberFormat="1" applyFont="1" applyFill="1" applyBorder="1" applyAlignment="1">
      <alignment horizontal="right" vertical="center"/>
    </xf>
    <xf numFmtId="49" fontId="11" fillId="0" borderId="0" xfId="41" applyNumberFormat="1" applyFont="1" applyAlignment="1">
      <alignment vertical="center"/>
    </xf>
    <xf numFmtId="49" fontId="8" fillId="0" borderId="0" xfId="44" applyFont="1" applyAlignment="1">
      <alignment vertical="center"/>
    </xf>
    <xf numFmtId="49" fontId="9" fillId="6" borderId="9" xfId="0" applyNumberFormat="1" applyFont="1" applyFill="1" applyBorder="1" applyAlignment="1">
      <alignment horizontal="center" vertical="top"/>
    </xf>
    <xf numFmtId="0" fontId="9" fillId="6" borderId="11" xfId="0" applyFont="1" applyFill="1" applyBorder="1" applyAlignment="1">
      <alignment horizontal="left" vertical="center" indent="1"/>
    </xf>
    <xf numFmtId="0" fontId="9" fillId="6" borderId="11" xfId="0" applyFont="1" applyFill="1" applyBorder="1" applyAlignment="1">
      <alignment horizontal="center" vertical="top"/>
    </xf>
    <xf numFmtId="0" fontId="9" fillId="6" borderId="12" xfId="0" applyFont="1" applyFill="1" applyBorder="1" applyAlignment="1">
      <alignment horizontal="center" vertical="top"/>
    </xf>
    <xf numFmtId="49" fontId="8" fillId="0" borderId="0" xfId="44" applyFont="1" applyBorder="1" applyAlignment="1">
      <alignment vertical="center"/>
    </xf>
    <xf numFmtId="166" fontId="2" fillId="0" borderId="2" xfId="44" applyNumberFormat="1" applyFont="1" applyBorder="1" applyAlignment="1">
      <alignment horizontal="right" vertical="center"/>
    </xf>
    <xf numFmtId="0" fontId="9" fillId="6" borderId="9" xfId="0" applyFont="1" applyFill="1" applyBorder="1" applyAlignment="1">
      <alignment horizontal="center" vertical="top"/>
    </xf>
    <xf numFmtId="167" fontId="2" fillId="0" borderId="2" xfId="44" applyNumberFormat="1" applyFont="1" applyBorder="1" applyAlignment="1">
      <alignment horizontal="right" vertical="center"/>
    </xf>
    <xf numFmtId="49" fontId="2" fillId="0" borderId="10" xfId="41" applyNumberFormat="1" applyFont="1" applyBorder="1" applyAlignment="1">
      <alignment vertical="center"/>
    </xf>
    <xf numFmtId="167" fontId="2" fillId="3" borderId="2" xfId="41" applyNumberFormat="1" applyFont="1" applyFill="1" applyBorder="1" applyAlignment="1">
      <alignment horizontal="right" vertical="center"/>
    </xf>
    <xf numFmtId="167" fontId="2" fillId="3" borderId="2" xfId="46" applyNumberFormat="1" applyFont="1" applyFill="1" applyBorder="1" applyAlignment="1">
      <alignment horizontal="right" vertical="center"/>
    </xf>
    <xf numFmtId="0" fontId="8" fillId="0" borderId="0" xfId="41" applyFont="1" applyAlignment="1">
      <alignment vertical="center"/>
    </xf>
    <xf numFmtId="167" fontId="2" fillId="3" borderId="2" xfId="41" applyNumberFormat="1" applyFont="1" applyFill="1" applyBorder="1" applyAlignment="1">
      <alignment horizontal="right" vertical="center" wrapText="1"/>
    </xf>
    <xf numFmtId="0" fontId="2" fillId="0" borderId="1" xfId="41" applyFont="1" applyBorder="1" applyAlignment="1">
      <alignment horizontal="center" vertical="center" wrapText="1"/>
    </xf>
    <xf numFmtId="0" fontId="2" fillId="0" borderId="0" xfId="41" applyFont="1" applyAlignment="1">
      <alignment horizontal="center" vertical="center" wrapText="1"/>
    </xf>
    <xf numFmtId="0" fontId="6" fillId="0" borderId="4" xfId="41" applyFont="1" applyBorder="1" applyAlignment="1">
      <alignment horizontal="center" vertical="center"/>
    </xf>
    <xf numFmtId="0" fontId="6" fillId="0" borderId="0" xfId="41" applyFont="1" applyAlignment="1">
      <alignment horizontal="center" vertical="center"/>
    </xf>
    <xf numFmtId="0" fontId="6" fillId="0" borderId="4" xfId="41" applyFont="1" applyBorder="1"/>
    <xf numFmtId="0" fontId="6" fillId="0" borderId="0" xfId="41" applyFont="1" applyAlignment="1">
      <alignment horizontal="left" vertical="center"/>
    </xf>
    <xf numFmtId="0" fontId="6" fillId="0" borderId="0" xfId="41" applyFont="1" applyAlignment="1">
      <alignment horizontal="center" vertical="center"/>
    </xf>
    <xf numFmtId="0" fontId="6" fillId="0" borderId="5" xfId="41" applyFont="1" applyBorder="1" applyAlignment="1">
      <alignment horizontal="center" vertical="center"/>
    </xf>
    <xf numFmtId="0" fontId="6" fillId="0" borderId="0" xfId="41" applyFont="1" applyAlignment="1">
      <alignment vertical="center"/>
    </xf>
  </cellXfs>
  <cellStyles count="49">
    <cellStyle name="Обычный" xfId="0" builtinId="0"/>
    <cellStyle name="Обычный 10" xfId="44" xr:uid="{00000000-0005-0000-0000-000001000000}"/>
    <cellStyle name="Обычный 2" xfId="1" xr:uid="{00000000-0005-0000-0000-000002000000}"/>
    <cellStyle name="Обычный_MINENERGO.340.PRIL79(v0.1)" xfId="47" xr:uid="{00000000-0005-0000-0000-000003000000}"/>
    <cellStyle name="Обычный_ЖКУ_проект3" xfId="48" xr:uid="{00000000-0005-0000-0000-000004000000}"/>
    <cellStyle name="Обычный_Полезный отпуск электроэнергии и мощности, реализуемой по нерегулируемым ценам" xfId="42" xr:uid="{00000000-0005-0000-0000-000005000000}"/>
    <cellStyle name="Обычный_Полезный отпуск электроэнергии и мощности, реализуемой по регулируемым ценам" xfId="41" xr:uid="{00000000-0005-0000-0000-000006000000}"/>
    <cellStyle name="Обычный_Продажа" xfId="46" xr:uid="{00000000-0005-0000-0000-000007000000}"/>
    <cellStyle name="Обычный_Сведения об отпуске (передаче) электроэнергии потребителям распределительными сетевыми организациями" xfId="45" xr:uid="{00000000-0005-0000-0000-000008000000}"/>
    <cellStyle name="Обычный_Шаблон по источникам для Модуля Реестр (2)" xfId="43" xr:uid="{00000000-0005-0000-0000-000009000000}"/>
    <cellStyle name="Финансовый [0] 2" xfId="2" xr:uid="{00000000-0005-0000-0000-00000A000000}"/>
    <cellStyle name="Финансовый 10" xfId="4" xr:uid="{00000000-0005-0000-0000-00000B000000}"/>
    <cellStyle name="Финансовый 11" xfId="5" xr:uid="{00000000-0005-0000-0000-00000C000000}"/>
    <cellStyle name="Финансовый 12" xfId="6" xr:uid="{00000000-0005-0000-0000-00000D000000}"/>
    <cellStyle name="Финансовый 13" xfId="7" xr:uid="{00000000-0005-0000-0000-00000E000000}"/>
    <cellStyle name="Финансовый 14" xfId="8" xr:uid="{00000000-0005-0000-0000-00000F000000}"/>
    <cellStyle name="Финансовый 15" xfId="9" xr:uid="{00000000-0005-0000-0000-000010000000}"/>
    <cellStyle name="Финансовый 16" xfId="10" xr:uid="{00000000-0005-0000-0000-000011000000}"/>
    <cellStyle name="Финансовый 17" xfId="11" xr:uid="{00000000-0005-0000-0000-000012000000}"/>
    <cellStyle name="Финансовый 18" xfId="12" xr:uid="{00000000-0005-0000-0000-000013000000}"/>
    <cellStyle name="Финансовый 19" xfId="13" xr:uid="{00000000-0005-0000-0000-000014000000}"/>
    <cellStyle name="Финансовый 2" xfId="3" xr:uid="{00000000-0005-0000-0000-000015000000}"/>
    <cellStyle name="Финансовый 20" xfId="14" xr:uid="{00000000-0005-0000-0000-000016000000}"/>
    <cellStyle name="Финансовый 21" xfId="15" xr:uid="{00000000-0005-0000-0000-000017000000}"/>
    <cellStyle name="Финансовый 22" xfId="16" xr:uid="{00000000-0005-0000-0000-000018000000}"/>
    <cellStyle name="Финансовый 23" xfId="17" xr:uid="{00000000-0005-0000-0000-000019000000}"/>
    <cellStyle name="Финансовый 24" xfId="18" xr:uid="{00000000-0005-0000-0000-00001A000000}"/>
    <cellStyle name="Финансовый 25" xfId="19" xr:uid="{00000000-0005-0000-0000-00001B000000}"/>
    <cellStyle name="Финансовый 26" xfId="20" xr:uid="{00000000-0005-0000-0000-00001C000000}"/>
    <cellStyle name="Финансовый 27" xfId="21" xr:uid="{00000000-0005-0000-0000-00001D000000}"/>
    <cellStyle name="Финансовый 28" xfId="22" xr:uid="{00000000-0005-0000-0000-00001E000000}"/>
    <cellStyle name="Финансовый 29" xfId="23" xr:uid="{00000000-0005-0000-0000-00001F000000}"/>
    <cellStyle name="Финансовый 3" xfId="24" xr:uid="{00000000-0005-0000-0000-000020000000}"/>
    <cellStyle name="Финансовый 30" xfId="25" xr:uid="{00000000-0005-0000-0000-000021000000}"/>
    <cellStyle name="Финансовый 31" xfId="26" xr:uid="{00000000-0005-0000-0000-000022000000}"/>
    <cellStyle name="Финансовый 32" xfId="27" xr:uid="{00000000-0005-0000-0000-000023000000}"/>
    <cellStyle name="Финансовый 33" xfId="28" xr:uid="{00000000-0005-0000-0000-000024000000}"/>
    <cellStyle name="Финансовый 34" xfId="29" xr:uid="{00000000-0005-0000-0000-000025000000}"/>
    <cellStyle name="Финансовый 35" xfId="30" xr:uid="{00000000-0005-0000-0000-000026000000}"/>
    <cellStyle name="Финансовый 36" xfId="31" xr:uid="{00000000-0005-0000-0000-000027000000}"/>
    <cellStyle name="Финансовый 37" xfId="32" xr:uid="{00000000-0005-0000-0000-000028000000}"/>
    <cellStyle name="Финансовый 38" xfId="33" xr:uid="{00000000-0005-0000-0000-000029000000}"/>
    <cellStyle name="Финансовый 39" xfId="34" xr:uid="{00000000-0005-0000-0000-00002A000000}"/>
    <cellStyle name="Финансовый 4" xfId="35" xr:uid="{00000000-0005-0000-0000-00002B000000}"/>
    <cellStyle name="Финансовый 5" xfId="36" xr:uid="{00000000-0005-0000-0000-00002C000000}"/>
    <cellStyle name="Финансовый 6" xfId="37" xr:uid="{00000000-0005-0000-0000-00002D000000}"/>
    <cellStyle name="Финансовый 7" xfId="38" xr:uid="{00000000-0005-0000-0000-00002E000000}"/>
    <cellStyle name="Финансовый 8" xfId="39" xr:uid="{00000000-0005-0000-0000-00002F000000}"/>
    <cellStyle name="Финансовый 9" xfId="40" xr:uid="{00000000-0005-0000-0000-000030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58;&#1040;&#1056;&#1048;&#1060;&#1067;%202012/&#1055;&#1086;&#1090;&#1077;&#1088;&#1080;/Balance%20&#1050;&#1086;&#1088;&#1103;&#1078;&#1084;&#1072;%202012(06.04.201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9;&#1086;%20&#1089;&#1090;&#1072;&#1088;&#1086;&#1075;&#1086;%20D/&#1052;&#1086;&#1080;%20&#1076;&#1086;&#1082;&#1091;&#1084;&#1077;&#1085;&#1090;&#1099;/&#1054;&#1058;&#1063;&#1045;&#1058;&#1053;&#1054;&#1057;&#1058;&#1068;/2017/46-&#1101;&#1101;/&#1075;&#1086;&#1076;/46EP.ST(v2.3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54;&#1058;&#1063;&#1045;&#1058;&#1053;&#1054;&#1057;&#1058;&#1068;/2020/46-&#1101;&#1101;/&#1075;&#1086;&#1076;/46EP.STX(v1.0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1 (267)"/>
      <sheetName val="Таблица2 (267)"/>
      <sheetName val="Таблица3 (267)"/>
      <sheetName val="Таблица5 (267)"/>
      <sheetName val="Таблица6 (267)"/>
      <sheetName val="Таблица8 (267)"/>
      <sheetName val="Таблица9 (267)"/>
      <sheetName val="Таблица10 (267)"/>
      <sheetName val="Загрузка"/>
      <sheetName val="Пояснение к формулам"/>
      <sheetName val="Таблица 1"/>
      <sheetName val="Таблица 2"/>
      <sheetName val="Таблица 2А"/>
      <sheetName val="Таблица 3"/>
      <sheetName val="Таблица 4"/>
      <sheetName val="Таблица 4А"/>
      <sheetName val="Таблица 5"/>
      <sheetName val="Таблица 6"/>
      <sheetName val="Таблица 7"/>
      <sheetName val="Таблица 8"/>
      <sheetName val="Таблица 9"/>
      <sheetName val="Определение погрешности"/>
      <sheetName val="Поступление"/>
      <sheetName val="Отпуск круп. потребителям"/>
      <sheetName val="Отпуск по трехфаз. счетчикам"/>
      <sheetName val="Отпуск по однофаз. счетчикам"/>
      <sheetName val="Сводка"/>
      <sheetName val="Структура потерь"/>
      <sheetName val="Потери по уровню напряжения"/>
      <sheetName val="Предложение к нормативу"/>
      <sheetName val="Динамика"/>
      <sheetName val="ДОПУСТИМАЯ_ПОГРЕШНОСТЬ"/>
      <sheetName val="Таблица 1 ПП"/>
      <sheetName val="Таблица 2 ПП"/>
      <sheetName val="Таблица 2а ПП"/>
      <sheetName val="Таблица 6 ПП"/>
      <sheetName val="Таблица 7 ПП"/>
      <sheetName val="Таблица 8 ПП"/>
      <sheetName val="Таблица 9 ПП"/>
      <sheetName val="Предложение на утверждение ПП"/>
      <sheetName val="Динамика основных показателей П"/>
    </sheetNames>
    <sheetDataSet>
      <sheetData sheetId="0"/>
      <sheetData sheetId="1"/>
      <sheetData sheetId="2">
        <row r="8">
          <cell r="B8">
            <v>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B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B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B11">
            <v>0.38209900000000002</v>
          </cell>
          <cell r="D11">
            <v>0.111245</v>
          </cell>
          <cell r="E11">
            <v>1.35137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2.8815E-2</v>
          </cell>
          <cell r="K11">
            <v>4.1999999999999997E-3</v>
          </cell>
          <cell r="L11">
            <v>7.6999999999999994E-3</v>
          </cell>
          <cell r="N11">
            <v>3.8999999999999998E-3</v>
          </cell>
          <cell r="O11">
            <v>0</v>
          </cell>
          <cell r="P11">
            <v>0</v>
          </cell>
          <cell r="Q11">
            <v>0</v>
          </cell>
        </row>
        <row r="12">
          <cell r="B12">
            <v>0</v>
          </cell>
          <cell r="D12">
            <v>0</v>
          </cell>
          <cell r="E12">
            <v>0</v>
          </cell>
          <cell r="I12">
            <v>0</v>
          </cell>
          <cell r="N12">
            <v>0</v>
          </cell>
        </row>
        <row r="13">
          <cell r="B13">
            <v>3.178947</v>
          </cell>
          <cell r="F13">
            <v>0</v>
          </cell>
          <cell r="K13">
            <v>7.9799999999999996E-2</v>
          </cell>
          <cell r="M13">
            <v>0.43015370000000003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34">
          <cell r="F34" t="str">
            <v>не утверждались</v>
          </cell>
        </row>
      </sheetData>
      <sheetData sheetId="11">
        <row r="44">
          <cell r="E44">
            <v>6019.3781197314838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5">
          <cell r="C5">
            <v>299.16341973148121</v>
          </cell>
        </row>
      </sheetData>
      <sheetData sheetId="22">
        <row r="1">
          <cell r="E1">
            <v>0.50847420400399479</v>
          </cell>
        </row>
      </sheetData>
      <sheetData sheetId="23"/>
      <sheetData sheetId="24"/>
      <sheetData sheetId="25"/>
      <sheetData sheetId="26">
        <row r="4">
          <cell r="D4">
            <v>2011</v>
          </cell>
        </row>
        <row r="15">
          <cell r="F15">
            <v>0</v>
          </cell>
          <cell r="G15">
            <v>0</v>
          </cell>
          <cell r="H15">
            <v>1.2772319454365038</v>
          </cell>
          <cell r="I15">
            <v>1.2814012738836706</v>
          </cell>
        </row>
        <row r="19">
          <cell r="C19">
            <v>1.2772319454365038</v>
          </cell>
        </row>
      </sheetData>
      <sheetData sheetId="27">
        <row r="8">
          <cell r="D8">
            <v>0</v>
          </cell>
          <cell r="G8">
            <v>0</v>
          </cell>
        </row>
        <row r="21">
          <cell r="D21">
            <v>0</v>
          </cell>
          <cell r="G21">
            <v>0</v>
          </cell>
        </row>
        <row r="24">
          <cell r="D24">
            <v>0</v>
          </cell>
          <cell r="G24">
            <v>0</v>
          </cell>
        </row>
        <row r="25">
          <cell r="D25">
            <v>0</v>
          </cell>
          <cell r="G25">
            <v>0</v>
          </cell>
        </row>
        <row r="27">
          <cell r="D27">
            <v>0</v>
          </cell>
          <cell r="G27">
            <v>0</v>
          </cell>
        </row>
        <row r="40">
          <cell r="D40">
            <v>0</v>
          </cell>
          <cell r="G40">
            <v>0</v>
          </cell>
        </row>
        <row r="43">
          <cell r="D43">
            <v>0</v>
          </cell>
          <cell r="G43">
            <v>0</v>
          </cell>
        </row>
        <row r="44">
          <cell r="D44">
            <v>0</v>
          </cell>
          <cell r="G44">
            <v>0</v>
          </cell>
        </row>
        <row r="46">
          <cell r="D46">
            <v>1395.9850000000001</v>
          </cell>
          <cell r="G46">
            <v>1395.9850000000001</v>
          </cell>
        </row>
        <row r="59">
          <cell r="D59">
            <v>493.34400000000005</v>
          </cell>
          <cell r="G59">
            <v>630.11471688942663</v>
          </cell>
        </row>
        <row r="62">
          <cell r="D62">
            <v>152.11688171507791</v>
          </cell>
          <cell r="G62">
            <v>171.91441758735854</v>
          </cell>
        </row>
        <row r="63">
          <cell r="D63">
            <v>2041.445881715078</v>
          </cell>
          <cell r="G63">
            <v>2198.0141344767853</v>
          </cell>
        </row>
        <row r="65">
          <cell r="D65">
            <v>509.95370000000003</v>
          </cell>
          <cell r="G65">
            <v>509.95370000000003</v>
          </cell>
        </row>
        <row r="69">
          <cell r="D69">
            <v>3178.9470000000001</v>
          </cell>
          <cell r="G69">
            <v>4073.5067354086732</v>
          </cell>
        </row>
        <row r="70">
          <cell r="D70">
            <v>147.0465380164033</v>
          </cell>
          <cell r="G70">
            <v>166.45520496939821</v>
          </cell>
        </row>
        <row r="71">
          <cell r="D71">
            <v>3835.9472380164034</v>
          </cell>
          <cell r="G71">
            <v>4749.9156403780717</v>
          </cell>
        </row>
        <row r="72">
          <cell r="D72">
            <v>5877.3931197314814</v>
          </cell>
          <cell r="G72">
            <v>6947.929774854857</v>
          </cell>
        </row>
      </sheetData>
      <sheetData sheetId="28">
        <row r="5">
          <cell r="B5">
            <v>0</v>
          </cell>
          <cell r="F5">
            <v>0</v>
          </cell>
        </row>
        <row r="9">
          <cell r="B9">
            <v>0</v>
          </cell>
          <cell r="F9">
            <v>0</v>
          </cell>
        </row>
        <row r="13">
          <cell r="B13">
            <v>61246.022000000004</v>
          </cell>
          <cell r="F13">
            <v>69217</v>
          </cell>
        </row>
        <row r="17">
          <cell r="B17">
            <v>59204.576118284924</v>
          </cell>
          <cell r="F17">
            <v>67018.985865523209</v>
          </cell>
        </row>
        <row r="21">
          <cell r="B21">
            <v>61246.022000000004</v>
          </cell>
          <cell r="F21">
            <v>69217</v>
          </cell>
        </row>
      </sheetData>
      <sheetData sheetId="29"/>
      <sheetData sheetId="30"/>
      <sheetData sheetId="31">
        <row r="1">
          <cell r="M1">
            <v>0</v>
          </cell>
        </row>
        <row r="2">
          <cell r="M2">
            <v>0</v>
          </cell>
        </row>
        <row r="3">
          <cell r="M3">
            <v>152.11688171507791</v>
          </cell>
        </row>
        <row r="4">
          <cell r="M4">
            <v>0</v>
          </cell>
        </row>
        <row r="5">
          <cell r="M5">
            <v>152.11688171507791</v>
          </cell>
        </row>
        <row r="6">
          <cell r="M6">
            <v>0</v>
          </cell>
        </row>
        <row r="7">
          <cell r="M7">
            <v>147.0465380164033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ЭСК"/>
      <sheetName val="modListProv"/>
      <sheetName val="mod_01"/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11"/>
      <sheetName val="modComm"/>
      <sheetName val="modButton"/>
      <sheetName val="modInstruction"/>
      <sheetName val="modHTTP"/>
      <sheetName val="REESTR_ORG"/>
      <sheetName val="REESTR_MO"/>
      <sheetName val="modfrmRegion"/>
      <sheetName val="modfrmReestr"/>
      <sheetName val="modfrmCheckUpdates"/>
      <sheetName val="modReestr"/>
      <sheetName val="modUpdTemplMain"/>
      <sheetName val="modDoubleClick"/>
      <sheetName val="modHyperlink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>
        <row r="44">
          <cell r="G44" t="str">
            <v>Бреховских Ирина Викторовна</v>
          </cell>
        </row>
        <row r="45">
          <cell r="G45" t="str">
            <v>Экономист</v>
          </cell>
        </row>
        <row r="46">
          <cell r="G46" t="str">
            <v>8(81850)3-32-51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177"/>
  <sheetViews>
    <sheetView tabSelected="1" view="pageBreakPreview" topLeftCell="D96" zoomScale="60" zoomScaleNormal="100" workbookViewId="0">
      <selection activeCell="C96" sqref="C1:C1048576"/>
    </sheetView>
  </sheetViews>
  <sheetFormatPr defaultRowHeight="11.25" x14ac:dyDescent="0.25"/>
  <cols>
    <col min="1" max="2" width="9.140625" style="21" hidden="1" customWidth="1"/>
    <col min="3" max="3" width="4.140625" style="21" hidden="1" customWidth="1"/>
    <col min="4" max="4" width="9.140625" style="21" customWidth="1"/>
    <col min="5" max="5" width="81.7109375" style="21" customWidth="1"/>
    <col min="6" max="6" width="6.7109375" style="21" customWidth="1"/>
    <col min="7" max="11" width="15.7109375" style="21" customWidth="1"/>
    <col min="12" max="12" width="6.7109375" style="21" customWidth="1"/>
    <col min="13" max="16" width="15.7109375" style="21" customWidth="1"/>
    <col min="17" max="35" width="11.7109375" style="21" customWidth="1"/>
    <col min="36" max="16384" width="9.140625" style="21"/>
  </cols>
  <sheetData>
    <row r="1" spans="1:77" hidden="1" x14ac:dyDescent="0.25">
      <c r="S1" s="22"/>
      <c r="T1" s="22"/>
      <c r="U1" s="22"/>
      <c r="V1" s="22"/>
      <c r="W1" s="22"/>
      <c r="Y1" s="22"/>
      <c r="AN1" s="22"/>
      <c r="AO1" s="22"/>
      <c r="AP1" s="22"/>
      <c r="BC1" s="22"/>
      <c r="BF1" s="22"/>
      <c r="BI1" s="22"/>
      <c r="BX1" s="22"/>
      <c r="BY1" s="22"/>
    </row>
    <row r="2" spans="1:77" hidden="1" x14ac:dyDescent="0.25"/>
    <row r="3" spans="1:77" hidden="1" x14ac:dyDescent="0.25"/>
    <row r="4" spans="1:77" hidden="1" x14ac:dyDescent="0.25">
      <c r="F4" s="23"/>
      <c r="G4" s="23"/>
      <c r="H4" s="23"/>
      <c r="I4" s="23"/>
      <c r="J4" s="23"/>
      <c r="K4" s="23"/>
      <c r="M4" s="23"/>
      <c r="N4" s="23"/>
      <c r="O4" s="23"/>
      <c r="P4" s="23"/>
      <c r="Q4" s="23"/>
    </row>
    <row r="5" spans="1:77" hidden="1" x14ac:dyDescent="0.25">
      <c r="A5" s="24"/>
      <c r="F5" s="21" t="s">
        <v>3</v>
      </c>
      <c r="G5" s="21" t="s">
        <v>4</v>
      </c>
      <c r="H5" s="21" t="s">
        <v>5</v>
      </c>
      <c r="I5" s="21" t="s">
        <v>6</v>
      </c>
      <c r="J5" s="21" t="s">
        <v>7</v>
      </c>
      <c r="K5" s="21" t="s">
        <v>8</v>
      </c>
      <c r="L5" s="21" t="s">
        <v>9</v>
      </c>
      <c r="M5" s="21" t="s">
        <v>10</v>
      </c>
      <c r="N5" s="21" t="s">
        <v>10</v>
      </c>
      <c r="O5" s="21" t="s">
        <v>11</v>
      </c>
      <c r="P5" s="21" t="s">
        <v>12</v>
      </c>
      <c r="Q5" s="21" t="s">
        <v>13</v>
      </c>
    </row>
    <row r="6" spans="1:77" hidden="1" x14ac:dyDescent="0.25">
      <c r="A6" s="24"/>
    </row>
    <row r="7" spans="1:77" ht="12" customHeight="1" x14ac:dyDescent="0.25">
      <c r="A7" s="24"/>
      <c r="K7" s="25"/>
      <c r="Q7" s="26"/>
    </row>
    <row r="8" spans="1:77" ht="22.5" customHeight="1" x14ac:dyDescent="0.25">
      <c r="A8" s="24"/>
      <c r="D8" s="27" t="s">
        <v>324</v>
      </c>
      <c r="E8" s="27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</row>
    <row r="9" spans="1:77" x14ac:dyDescent="0.25">
      <c r="A9" s="24"/>
      <c r="D9" s="28" t="str">
        <f>IF(org="","Не определено",org)</f>
        <v>Не определено</v>
      </c>
      <c r="E9" s="28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</row>
    <row r="10" spans="1:77" ht="12" customHeight="1" x14ac:dyDescent="0.25">
      <c r="D10" s="29"/>
      <c r="E10" s="29"/>
      <c r="K10" s="2" t="s">
        <v>14</v>
      </c>
    </row>
    <row r="11" spans="1:77" ht="15" customHeight="1" x14ac:dyDescent="0.25">
      <c r="D11" s="30" t="s">
        <v>39</v>
      </c>
      <c r="E11" s="31" t="s">
        <v>15</v>
      </c>
      <c r="F11" s="31" t="s">
        <v>16</v>
      </c>
      <c r="G11" s="31" t="s">
        <v>2</v>
      </c>
      <c r="H11" s="31" t="s">
        <v>17</v>
      </c>
      <c r="I11" s="31"/>
      <c r="J11" s="31"/>
      <c r="K11" s="32"/>
      <c r="L11" s="33"/>
    </row>
    <row r="12" spans="1:77" ht="15" customHeight="1" x14ac:dyDescent="0.25">
      <c r="D12" s="34"/>
      <c r="E12" s="35"/>
      <c r="F12" s="35"/>
      <c r="G12" s="35"/>
      <c r="H12" s="36" t="s">
        <v>0</v>
      </c>
      <c r="I12" s="36" t="s">
        <v>18</v>
      </c>
      <c r="J12" s="36" t="s">
        <v>19</v>
      </c>
      <c r="K12" s="37" t="s">
        <v>1</v>
      </c>
      <c r="L12" s="33"/>
    </row>
    <row r="13" spans="1:77" ht="12" customHeight="1" x14ac:dyDescent="0.25">
      <c r="D13" s="38">
        <v>0</v>
      </c>
      <c r="E13" s="38">
        <v>1</v>
      </c>
      <c r="F13" s="38">
        <v>2</v>
      </c>
      <c r="G13" s="38">
        <v>3</v>
      </c>
      <c r="H13" s="38">
        <v>4</v>
      </c>
      <c r="I13" s="38">
        <v>5</v>
      </c>
      <c r="J13" s="38">
        <v>6</v>
      </c>
      <c r="K13" s="38">
        <v>7</v>
      </c>
    </row>
    <row r="14" spans="1:77" s="39" customFormat="1" ht="15" customHeight="1" x14ac:dyDescent="0.25">
      <c r="C14" s="40"/>
      <c r="D14" s="18" t="s">
        <v>40</v>
      </c>
      <c r="E14" s="19"/>
      <c r="F14" s="19"/>
      <c r="G14" s="19"/>
      <c r="H14" s="19"/>
      <c r="I14" s="19"/>
      <c r="J14" s="19"/>
      <c r="K14" s="20"/>
      <c r="L14" s="41"/>
    </row>
    <row r="15" spans="1:77" s="39" customFormat="1" ht="15" customHeight="1" x14ac:dyDescent="0.2">
      <c r="C15" s="40"/>
      <c r="D15" s="42" t="s">
        <v>41</v>
      </c>
      <c r="E15" s="3" t="s">
        <v>42</v>
      </c>
      <c r="F15" s="1">
        <v>10</v>
      </c>
      <c r="G15" s="43">
        <f>SUM(H15:K15)</f>
        <v>51924.748999999996</v>
      </c>
      <c r="H15" s="43">
        <f>H16+H17+H21+H24</f>
        <v>0</v>
      </c>
      <c r="I15" s="43">
        <f>I16+I17+I21+I24</f>
        <v>0</v>
      </c>
      <c r="J15" s="43">
        <f>J16+J17+J21+J24</f>
        <v>51924.748999999996</v>
      </c>
      <c r="K15" s="43">
        <f>K16+K17+K21+K24</f>
        <v>0</v>
      </c>
      <c r="L15" s="41"/>
      <c r="M15" s="44"/>
      <c r="P15" s="4">
        <v>10</v>
      </c>
    </row>
    <row r="16" spans="1:77" s="39" customFormat="1" ht="15" customHeight="1" x14ac:dyDescent="0.2">
      <c r="C16" s="40"/>
      <c r="D16" s="42" t="s">
        <v>43</v>
      </c>
      <c r="E16" s="5" t="s">
        <v>44</v>
      </c>
      <c r="F16" s="1">
        <v>20</v>
      </c>
      <c r="G16" s="43">
        <f t="shared" ref="G16:G132" si="0">SUM(H16:K16)</f>
        <v>45890.087</v>
      </c>
      <c r="H16" s="6"/>
      <c r="I16" s="6"/>
      <c r="J16" s="6">
        <f>4862.764+4366.951+4231.281+3707.757+3466.536+2866.567+3098.78+3317.627+3582.652+3999.121+4150.192+4239.859</f>
        <v>45890.087</v>
      </c>
      <c r="K16" s="6"/>
      <c r="L16" s="41"/>
      <c r="M16" s="44"/>
      <c r="P16" s="4">
        <v>20</v>
      </c>
    </row>
    <row r="17" spans="3:16" s="39" customFormat="1" ht="15" customHeight="1" x14ac:dyDescent="0.2">
      <c r="C17" s="40"/>
      <c r="D17" s="42" t="s">
        <v>45</v>
      </c>
      <c r="E17" s="5" t="s">
        <v>46</v>
      </c>
      <c r="F17" s="1">
        <v>30</v>
      </c>
      <c r="G17" s="43">
        <f t="shared" si="0"/>
        <v>6034.6619999999984</v>
      </c>
      <c r="H17" s="43">
        <f>SUM(H18:H20)</f>
        <v>0</v>
      </c>
      <c r="I17" s="43">
        <f>SUM(I18:I20)</f>
        <v>0</v>
      </c>
      <c r="J17" s="43">
        <f>SUM(J18:J20)</f>
        <v>6034.6619999999984</v>
      </c>
      <c r="K17" s="43">
        <f>SUM(K18:K20)</f>
        <v>0</v>
      </c>
      <c r="L17" s="41"/>
      <c r="M17" s="44"/>
      <c r="P17" s="4">
        <v>30</v>
      </c>
    </row>
    <row r="18" spans="3:16" s="39" customFormat="1" ht="12.75" hidden="1" x14ac:dyDescent="0.2">
      <c r="C18" s="40"/>
      <c r="D18" s="45" t="s">
        <v>47</v>
      </c>
      <c r="E18" s="46"/>
      <c r="F18" s="47" t="s">
        <v>48</v>
      </c>
      <c r="G18" s="48"/>
      <c r="H18" s="48"/>
      <c r="I18" s="48"/>
      <c r="J18" s="48"/>
      <c r="K18" s="48"/>
      <c r="L18" s="41"/>
      <c r="M18" s="44"/>
      <c r="P18" s="4"/>
    </row>
    <row r="19" spans="3:16" s="39" customFormat="1" ht="15" customHeight="1" x14ac:dyDescent="0.25">
      <c r="C19" s="49" t="s">
        <v>58</v>
      </c>
      <c r="D19" s="50" t="s">
        <v>325</v>
      </c>
      <c r="E19" s="51" t="s">
        <v>326</v>
      </c>
      <c r="F19" s="7">
        <v>31</v>
      </c>
      <c r="G19" s="52">
        <f>SUM(H19:K19)</f>
        <v>6034.6619999999984</v>
      </c>
      <c r="H19" s="8"/>
      <c r="I19" s="8"/>
      <c r="J19" s="8">
        <f>343.278+348.71+451.044+348.348+432.048+561.757+641.149+501.972+489.539+464.258+483.851+968.708</f>
        <v>6034.6619999999984</v>
      </c>
      <c r="K19" s="9"/>
      <c r="L19" s="41"/>
      <c r="M19" s="53" t="s">
        <v>327</v>
      </c>
      <c r="N19" s="54" t="s">
        <v>328</v>
      </c>
      <c r="O19" s="54" t="s">
        <v>329</v>
      </c>
    </row>
    <row r="20" spans="3:16" s="39" customFormat="1" ht="15" customHeight="1" x14ac:dyDescent="0.2">
      <c r="C20" s="40"/>
      <c r="D20" s="55"/>
      <c r="E20" s="56" t="s">
        <v>49</v>
      </c>
      <c r="F20" s="57"/>
      <c r="G20" s="57"/>
      <c r="H20" s="57"/>
      <c r="I20" s="57"/>
      <c r="J20" s="57"/>
      <c r="K20" s="58"/>
      <c r="L20" s="41"/>
      <c r="M20" s="44"/>
      <c r="P20" s="59"/>
    </row>
    <row r="21" spans="3:16" s="39" customFormat="1" ht="15" customHeight="1" x14ac:dyDescent="0.2">
      <c r="C21" s="40"/>
      <c r="D21" s="42" t="s">
        <v>50</v>
      </c>
      <c r="E21" s="5" t="s">
        <v>51</v>
      </c>
      <c r="F21" s="1" t="s">
        <v>52</v>
      </c>
      <c r="G21" s="43">
        <f t="shared" si="0"/>
        <v>0</v>
      </c>
      <c r="H21" s="43">
        <f>SUM(H22:H23)</f>
        <v>0</v>
      </c>
      <c r="I21" s="43">
        <f>SUM(I22:I23)</f>
        <v>0</v>
      </c>
      <c r="J21" s="43">
        <f>SUM(J22:J23)</f>
        <v>0</v>
      </c>
      <c r="K21" s="43">
        <f>SUM(K22:K23)</f>
        <v>0</v>
      </c>
      <c r="L21" s="41"/>
      <c r="M21" s="44"/>
      <c r="P21" s="59"/>
    </row>
    <row r="22" spans="3:16" s="39" customFormat="1" ht="12.75" hidden="1" x14ac:dyDescent="0.2">
      <c r="C22" s="40"/>
      <c r="D22" s="45" t="s">
        <v>53</v>
      </c>
      <c r="E22" s="46"/>
      <c r="F22" s="47" t="s">
        <v>52</v>
      </c>
      <c r="G22" s="48"/>
      <c r="H22" s="48"/>
      <c r="I22" s="48"/>
      <c r="J22" s="48"/>
      <c r="K22" s="48"/>
      <c r="L22" s="41"/>
      <c r="M22" s="44"/>
      <c r="P22" s="4"/>
    </row>
    <row r="23" spans="3:16" s="39" customFormat="1" ht="15" customHeight="1" x14ac:dyDescent="0.2">
      <c r="C23" s="40"/>
      <c r="D23" s="55"/>
      <c r="E23" s="56" t="s">
        <v>49</v>
      </c>
      <c r="F23" s="57"/>
      <c r="G23" s="57"/>
      <c r="H23" s="57"/>
      <c r="I23" s="57"/>
      <c r="J23" s="57"/>
      <c r="K23" s="58"/>
      <c r="L23" s="41"/>
      <c r="M23" s="44"/>
      <c r="P23" s="59"/>
    </row>
    <row r="24" spans="3:16" s="39" customFormat="1" ht="15" customHeight="1" x14ac:dyDescent="0.2">
      <c r="C24" s="40"/>
      <c r="D24" s="42" t="s">
        <v>54</v>
      </c>
      <c r="E24" s="5" t="s">
        <v>55</v>
      </c>
      <c r="F24" s="1" t="s">
        <v>56</v>
      </c>
      <c r="G24" s="43">
        <f t="shared" si="0"/>
        <v>0</v>
      </c>
      <c r="H24" s="43">
        <f>SUM(H25:H26)</f>
        <v>0</v>
      </c>
      <c r="I24" s="43">
        <f>SUM(I25:I26)</f>
        <v>0</v>
      </c>
      <c r="J24" s="43">
        <f>SUM(J25:J26)</f>
        <v>0</v>
      </c>
      <c r="K24" s="43">
        <f>SUM(K25:K26)</f>
        <v>0</v>
      </c>
      <c r="L24" s="41"/>
      <c r="M24" s="44"/>
      <c r="P24" s="4">
        <v>40</v>
      </c>
    </row>
    <row r="25" spans="3:16" s="39" customFormat="1" ht="12.75" x14ac:dyDescent="0.2">
      <c r="C25" s="40"/>
      <c r="D25" s="45" t="s">
        <v>57</v>
      </c>
      <c r="E25" s="46"/>
      <c r="F25" s="47" t="s">
        <v>56</v>
      </c>
      <c r="G25" s="48"/>
      <c r="H25" s="48"/>
      <c r="I25" s="48"/>
      <c r="J25" s="48"/>
      <c r="K25" s="48"/>
      <c r="L25" s="41"/>
      <c r="M25" s="44"/>
      <c r="P25" s="4"/>
    </row>
    <row r="26" spans="3:16" s="39" customFormat="1" ht="15" customHeight="1" x14ac:dyDescent="0.2">
      <c r="C26" s="40"/>
      <c r="D26" s="55"/>
      <c r="E26" s="56" t="s">
        <v>49</v>
      </c>
      <c r="F26" s="57"/>
      <c r="G26" s="57"/>
      <c r="H26" s="57"/>
      <c r="I26" s="57"/>
      <c r="J26" s="57"/>
      <c r="K26" s="58"/>
      <c r="L26" s="41"/>
      <c r="M26" s="44"/>
      <c r="P26" s="4"/>
    </row>
    <row r="27" spans="3:16" s="39" customFormat="1" ht="15" customHeight="1" x14ac:dyDescent="0.2">
      <c r="C27" s="40"/>
      <c r="D27" s="42" t="s">
        <v>59</v>
      </c>
      <c r="E27" s="3" t="s">
        <v>20</v>
      </c>
      <c r="F27" s="1" t="s">
        <v>60</v>
      </c>
      <c r="G27" s="43">
        <f t="shared" si="0"/>
        <v>0</v>
      </c>
      <c r="H27" s="43">
        <f>H29+H30+H31</f>
        <v>0</v>
      </c>
      <c r="I27" s="43">
        <f>I28+I30+I31</f>
        <v>0</v>
      </c>
      <c r="J27" s="43">
        <f>J28+J29+J31</f>
        <v>0</v>
      </c>
      <c r="K27" s="43">
        <f>K28+K29+K30</f>
        <v>0</v>
      </c>
      <c r="L27" s="41"/>
      <c r="M27" s="44"/>
      <c r="P27" s="4">
        <v>50</v>
      </c>
    </row>
    <row r="28" spans="3:16" s="39" customFormat="1" ht="15" customHeight="1" x14ac:dyDescent="0.2">
      <c r="C28" s="40"/>
      <c r="D28" s="42" t="s">
        <v>61</v>
      </c>
      <c r="E28" s="5" t="s">
        <v>0</v>
      </c>
      <c r="F28" s="1" t="s">
        <v>62</v>
      </c>
      <c r="G28" s="43">
        <f t="shared" si="0"/>
        <v>0</v>
      </c>
      <c r="H28" s="60"/>
      <c r="I28" s="6"/>
      <c r="J28" s="6"/>
      <c r="K28" s="6"/>
      <c r="L28" s="41"/>
      <c r="M28" s="44"/>
      <c r="P28" s="4">
        <v>60</v>
      </c>
    </row>
    <row r="29" spans="3:16" s="39" customFormat="1" ht="15" customHeight="1" x14ac:dyDescent="0.2">
      <c r="C29" s="40"/>
      <c r="D29" s="42" t="s">
        <v>63</v>
      </c>
      <c r="E29" s="5" t="s">
        <v>18</v>
      </c>
      <c r="F29" s="1" t="s">
        <v>64</v>
      </c>
      <c r="G29" s="43">
        <f t="shared" si="0"/>
        <v>0</v>
      </c>
      <c r="H29" s="6"/>
      <c r="I29" s="60"/>
      <c r="J29" s="6"/>
      <c r="K29" s="6"/>
      <c r="L29" s="41"/>
      <c r="M29" s="44"/>
      <c r="P29" s="4">
        <v>70</v>
      </c>
    </row>
    <row r="30" spans="3:16" s="39" customFormat="1" ht="15" customHeight="1" x14ac:dyDescent="0.2">
      <c r="C30" s="40"/>
      <c r="D30" s="42" t="s">
        <v>65</v>
      </c>
      <c r="E30" s="5" t="s">
        <v>19</v>
      </c>
      <c r="F30" s="1" t="s">
        <v>66</v>
      </c>
      <c r="G30" s="43">
        <f t="shared" si="0"/>
        <v>0</v>
      </c>
      <c r="H30" s="6"/>
      <c r="I30" s="6"/>
      <c r="J30" s="60"/>
      <c r="K30" s="6"/>
      <c r="L30" s="41"/>
      <c r="M30" s="44"/>
      <c r="P30" s="4">
        <v>80</v>
      </c>
    </row>
    <row r="31" spans="3:16" s="39" customFormat="1" ht="15" customHeight="1" x14ac:dyDescent="0.2">
      <c r="C31" s="40"/>
      <c r="D31" s="42" t="s">
        <v>67</v>
      </c>
      <c r="E31" s="5" t="s">
        <v>21</v>
      </c>
      <c r="F31" s="1" t="s">
        <v>68</v>
      </c>
      <c r="G31" s="43">
        <f t="shared" si="0"/>
        <v>0</v>
      </c>
      <c r="H31" s="6"/>
      <c r="I31" s="6"/>
      <c r="J31" s="6"/>
      <c r="K31" s="60"/>
      <c r="L31" s="41"/>
      <c r="M31" s="44"/>
      <c r="P31" s="4">
        <v>90</v>
      </c>
    </row>
    <row r="32" spans="3:16" s="39" customFormat="1" ht="15" customHeight="1" x14ac:dyDescent="0.2">
      <c r="C32" s="40"/>
      <c r="D32" s="42" t="s">
        <v>69</v>
      </c>
      <c r="E32" s="10" t="s">
        <v>24</v>
      </c>
      <c r="F32" s="1" t="s">
        <v>70</v>
      </c>
      <c r="G32" s="43">
        <f t="shared" si="0"/>
        <v>0</v>
      </c>
      <c r="H32" s="6"/>
      <c r="I32" s="6"/>
      <c r="J32" s="6"/>
      <c r="K32" s="6"/>
      <c r="L32" s="41"/>
      <c r="M32" s="44"/>
      <c r="P32" s="4"/>
    </row>
    <row r="33" spans="3:16" s="39" customFormat="1" ht="15" customHeight="1" x14ac:dyDescent="0.2">
      <c r="C33" s="40"/>
      <c r="D33" s="42" t="s">
        <v>71</v>
      </c>
      <c r="E33" s="3" t="s">
        <v>72</v>
      </c>
      <c r="F33" s="1" t="s">
        <v>73</v>
      </c>
      <c r="G33" s="43">
        <f t="shared" si="0"/>
        <v>46844.542000000001</v>
      </c>
      <c r="H33" s="43">
        <f>H34+H36+H39+H43</f>
        <v>0</v>
      </c>
      <c r="I33" s="43">
        <f>I34+I36+I39+I43</f>
        <v>0</v>
      </c>
      <c r="J33" s="43">
        <f>J34+J36+J39+J43</f>
        <v>13762.242999999999</v>
      </c>
      <c r="K33" s="43">
        <f>K34+K36+K39+K43</f>
        <v>33082.298999999999</v>
      </c>
      <c r="L33" s="41"/>
      <c r="M33" s="44"/>
      <c r="P33" s="4">
        <v>100</v>
      </c>
    </row>
    <row r="34" spans="3:16" s="39" customFormat="1" ht="22.5" x14ac:dyDescent="0.2">
      <c r="C34" s="40"/>
      <c r="D34" s="42" t="s">
        <v>74</v>
      </c>
      <c r="E34" s="5" t="s">
        <v>75</v>
      </c>
      <c r="F34" s="1" t="s">
        <v>76</v>
      </c>
      <c r="G34" s="43">
        <f t="shared" si="0"/>
        <v>14293.761</v>
      </c>
      <c r="H34" s="6"/>
      <c r="I34" s="6"/>
      <c r="J34" s="6">
        <f>1227.731+1102.746+955.16+759.976+646.67+605.063+583.627+676.37+717.565+794.25+836.164+937.937</f>
        <v>9843.259</v>
      </c>
      <c r="K34" s="6">
        <f>443.726+506.481+414.16+273.946+234.242+280.641+285.501+304.178+410.157+420.339+438.602+438.529</f>
        <v>4450.5020000000004</v>
      </c>
      <c r="L34" s="41"/>
      <c r="M34" s="44"/>
      <c r="P34" s="4"/>
    </row>
    <row r="35" spans="3:16" s="39" customFormat="1" ht="15" customHeight="1" x14ac:dyDescent="0.2">
      <c r="C35" s="40"/>
      <c r="D35" s="42" t="s">
        <v>77</v>
      </c>
      <c r="E35" s="11" t="s">
        <v>78</v>
      </c>
      <c r="F35" s="1" t="s">
        <v>79</v>
      </c>
      <c r="G35" s="43">
        <f t="shared" si="0"/>
        <v>0</v>
      </c>
      <c r="H35" s="6"/>
      <c r="I35" s="6"/>
      <c r="J35" s="6"/>
      <c r="K35" s="6"/>
      <c r="L35" s="41"/>
      <c r="M35" s="44"/>
      <c r="P35" s="4"/>
    </row>
    <row r="36" spans="3:16" s="39" customFormat="1" ht="15" customHeight="1" x14ac:dyDescent="0.2">
      <c r="C36" s="40"/>
      <c r="D36" s="42" t="s">
        <v>80</v>
      </c>
      <c r="E36" s="5" t="s">
        <v>81</v>
      </c>
      <c r="F36" s="1" t="s">
        <v>82</v>
      </c>
      <c r="G36" s="43">
        <f t="shared" si="0"/>
        <v>5687.66</v>
      </c>
      <c r="H36" s="6"/>
      <c r="I36" s="6"/>
      <c r="J36" s="6">
        <f>291.463+271.717+279.025+257.864+262.91+262.277+286.463+264.585+257.774+254.852+264.452+293.738</f>
        <v>3247.1199999999994</v>
      </c>
      <c r="K36" s="6">
        <f>216.326+209.886+201.544+186.157+188.159+199.266+214.494+198.689+201.618+205.799+205.121+213.481</f>
        <v>2440.54</v>
      </c>
      <c r="L36" s="41"/>
      <c r="M36" s="44"/>
      <c r="P36" s="4"/>
    </row>
    <row r="37" spans="3:16" s="39" customFormat="1" ht="15" customHeight="1" x14ac:dyDescent="0.2">
      <c r="C37" s="40"/>
      <c r="D37" s="42" t="s">
        <v>83</v>
      </c>
      <c r="E37" s="11" t="s">
        <v>84</v>
      </c>
      <c r="F37" s="1" t="s">
        <v>85</v>
      </c>
      <c r="G37" s="43">
        <f t="shared" si="0"/>
        <v>0</v>
      </c>
      <c r="H37" s="6"/>
      <c r="I37" s="6"/>
      <c r="J37" s="6"/>
      <c r="K37" s="6"/>
      <c r="L37" s="41"/>
      <c r="M37" s="44"/>
      <c r="P37" s="4"/>
    </row>
    <row r="38" spans="3:16" s="39" customFormat="1" ht="15" customHeight="1" x14ac:dyDescent="0.2">
      <c r="C38" s="40"/>
      <c r="D38" s="42" t="s">
        <v>86</v>
      </c>
      <c r="E38" s="12" t="s">
        <v>78</v>
      </c>
      <c r="F38" s="1" t="s">
        <v>87</v>
      </c>
      <c r="G38" s="43">
        <f t="shared" si="0"/>
        <v>0</v>
      </c>
      <c r="H38" s="6"/>
      <c r="I38" s="6"/>
      <c r="J38" s="6"/>
      <c r="K38" s="6"/>
      <c r="L38" s="41"/>
      <c r="M38" s="44"/>
      <c r="P38" s="4"/>
    </row>
    <row r="39" spans="3:16" s="39" customFormat="1" ht="15" customHeight="1" x14ac:dyDescent="0.2">
      <c r="C39" s="40"/>
      <c r="D39" s="42" t="s">
        <v>88</v>
      </c>
      <c r="E39" s="5" t="s">
        <v>89</v>
      </c>
      <c r="F39" s="1" t="s">
        <v>90</v>
      </c>
      <c r="G39" s="43">
        <f t="shared" si="0"/>
        <v>671.86399999999992</v>
      </c>
      <c r="H39" s="43">
        <f>SUM(H40:H42)</f>
        <v>0</v>
      </c>
      <c r="I39" s="43">
        <f>SUM(I40:I42)</f>
        <v>0</v>
      </c>
      <c r="J39" s="43">
        <f>SUM(J40:J42)</f>
        <v>671.86399999999992</v>
      </c>
      <c r="K39" s="43">
        <f>SUM(K40:K42)</f>
        <v>0</v>
      </c>
      <c r="L39" s="41"/>
      <c r="M39" s="44"/>
      <c r="P39" s="4"/>
    </row>
    <row r="40" spans="3:16" s="39" customFormat="1" ht="12.75" hidden="1" x14ac:dyDescent="0.2">
      <c r="C40" s="40"/>
      <c r="D40" s="45" t="s">
        <v>91</v>
      </c>
      <c r="E40" s="46"/>
      <c r="F40" s="47" t="s">
        <v>90</v>
      </c>
      <c r="G40" s="48"/>
      <c r="H40" s="48"/>
      <c r="I40" s="48"/>
      <c r="J40" s="48"/>
      <c r="K40" s="48"/>
      <c r="L40" s="41"/>
      <c r="M40" s="44"/>
      <c r="P40" s="4"/>
    </row>
    <row r="41" spans="3:16" s="39" customFormat="1" ht="15" customHeight="1" x14ac:dyDescent="0.25">
      <c r="C41" s="49" t="s">
        <v>58</v>
      </c>
      <c r="D41" s="50" t="s">
        <v>330</v>
      </c>
      <c r="E41" s="51" t="s">
        <v>331</v>
      </c>
      <c r="F41" s="7">
        <v>751</v>
      </c>
      <c r="G41" s="52">
        <f>SUM(H41:K41)</f>
        <v>671.86399999999992</v>
      </c>
      <c r="H41" s="8"/>
      <c r="I41" s="8"/>
      <c r="J41" s="8">
        <f>70.697+35.082+55.011+41.055+44.205+58.052+61.212+72.185+58.162+57.556+56.954+61.693</f>
        <v>671.86399999999992</v>
      </c>
      <c r="K41" s="9"/>
      <c r="L41" s="41"/>
      <c r="M41" s="53" t="s">
        <v>332</v>
      </c>
      <c r="N41" s="54" t="s">
        <v>333</v>
      </c>
      <c r="O41" s="54" t="s">
        <v>334</v>
      </c>
    </row>
    <row r="42" spans="3:16" s="39" customFormat="1" ht="15" customHeight="1" x14ac:dyDescent="0.2">
      <c r="C42" s="40"/>
      <c r="D42" s="61"/>
      <c r="E42" s="56" t="s">
        <v>49</v>
      </c>
      <c r="F42" s="57"/>
      <c r="G42" s="57"/>
      <c r="H42" s="57"/>
      <c r="I42" s="57"/>
      <c r="J42" s="57"/>
      <c r="K42" s="58"/>
      <c r="L42" s="41"/>
      <c r="M42" s="44"/>
      <c r="P42" s="4"/>
    </row>
    <row r="43" spans="3:16" s="39" customFormat="1" ht="15" customHeight="1" x14ac:dyDescent="0.2">
      <c r="C43" s="40"/>
      <c r="D43" s="42" t="s">
        <v>92</v>
      </c>
      <c r="E43" s="5" t="s">
        <v>93</v>
      </c>
      <c r="F43" s="1" t="s">
        <v>94</v>
      </c>
      <c r="G43" s="43">
        <f t="shared" si="0"/>
        <v>26191.256999999998</v>
      </c>
      <c r="H43" s="6"/>
      <c r="I43" s="6"/>
      <c r="J43" s="6"/>
      <c r="K43" s="6">
        <f>2677.446+2453.366+2157.977+2321.537+2110.355+1945.331+1832.244+1980.306+2042.973+2083.097+2305.859+2280.766</f>
        <v>26191.256999999998</v>
      </c>
      <c r="L43" s="41"/>
      <c r="M43" s="44"/>
      <c r="P43" s="4">
        <v>120</v>
      </c>
    </row>
    <row r="44" spans="3:16" s="39" customFormat="1" ht="15" customHeight="1" x14ac:dyDescent="0.2">
      <c r="C44" s="40"/>
      <c r="D44" s="42" t="s">
        <v>95</v>
      </c>
      <c r="E44" s="3" t="s">
        <v>22</v>
      </c>
      <c r="F44" s="1" t="s">
        <v>96</v>
      </c>
      <c r="G44" s="43">
        <f t="shared" si="0"/>
        <v>0</v>
      </c>
      <c r="H44" s="6"/>
      <c r="I44" s="6"/>
      <c r="J44" s="6"/>
      <c r="K44" s="6"/>
      <c r="L44" s="41"/>
      <c r="M44" s="44"/>
      <c r="P44" s="4">
        <v>150</v>
      </c>
    </row>
    <row r="45" spans="3:16" s="39" customFormat="1" ht="15" customHeight="1" x14ac:dyDescent="0.2">
      <c r="C45" s="40"/>
      <c r="D45" s="42" t="s">
        <v>97</v>
      </c>
      <c r="E45" s="3" t="s">
        <v>23</v>
      </c>
      <c r="F45" s="1" t="s">
        <v>98</v>
      </c>
      <c r="G45" s="43">
        <f t="shared" si="0"/>
        <v>0</v>
      </c>
      <c r="H45" s="6"/>
      <c r="I45" s="6"/>
      <c r="J45" s="6"/>
      <c r="K45" s="6"/>
      <c r="L45" s="41"/>
      <c r="M45" s="44"/>
      <c r="P45" s="4">
        <v>160</v>
      </c>
    </row>
    <row r="46" spans="3:16" s="39" customFormat="1" ht="15" customHeight="1" x14ac:dyDescent="0.2">
      <c r="C46" s="40"/>
      <c r="D46" s="42" t="s">
        <v>99</v>
      </c>
      <c r="E46" s="3" t="s">
        <v>25</v>
      </c>
      <c r="F46" s="1" t="s">
        <v>100</v>
      </c>
      <c r="G46" s="43">
        <f t="shared" si="0"/>
        <v>0</v>
      </c>
      <c r="H46" s="6"/>
      <c r="I46" s="6"/>
      <c r="J46" s="6"/>
      <c r="K46" s="6"/>
      <c r="L46" s="41"/>
      <c r="M46" s="44"/>
      <c r="P46" s="4">
        <v>180</v>
      </c>
    </row>
    <row r="47" spans="3:16" s="39" customFormat="1" ht="15" customHeight="1" x14ac:dyDescent="0.2">
      <c r="C47" s="40"/>
      <c r="D47" s="42" t="s">
        <v>101</v>
      </c>
      <c r="E47" s="3" t="s">
        <v>102</v>
      </c>
      <c r="F47" s="1" t="s">
        <v>103</v>
      </c>
      <c r="G47" s="43">
        <f t="shared" si="0"/>
        <v>5080.2070000000003</v>
      </c>
      <c r="H47" s="6"/>
      <c r="I47" s="6"/>
      <c r="J47" s="6">
        <f>278.653+136.383+492.4+215.57+407.883+77.694+381.3+323.286+383.942+455.7+526.891+520.7</f>
        <v>4200.402</v>
      </c>
      <c r="K47" s="6">
        <f>127.048+4.16+95.088+191.786+461.723</f>
        <v>879.80500000000006</v>
      </c>
      <c r="L47" s="41"/>
      <c r="M47" s="44"/>
      <c r="P47" s="4">
        <v>190</v>
      </c>
    </row>
    <row r="48" spans="3:16" s="39" customFormat="1" ht="15" customHeight="1" x14ac:dyDescent="0.2">
      <c r="C48" s="40"/>
      <c r="D48" s="42" t="s">
        <v>104</v>
      </c>
      <c r="E48" s="5" t="s">
        <v>105</v>
      </c>
      <c r="F48" s="1" t="s">
        <v>106</v>
      </c>
      <c r="G48" s="43">
        <f t="shared" si="0"/>
        <v>0</v>
      </c>
      <c r="H48" s="6"/>
      <c r="I48" s="6"/>
      <c r="J48" s="6"/>
      <c r="K48" s="6"/>
      <c r="L48" s="41"/>
      <c r="M48" s="44"/>
      <c r="P48" s="4">
        <v>200</v>
      </c>
    </row>
    <row r="49" spans="3:16" s="39" customFormat="1" ht="15" customHeight="1" x14ac:dyDescent="0.2">
      <c r="C49" s="40"/>
      <c r="D49" s="42" t="s">
        <v>107</v>
      </c>
      <c r="E49" s="3" t="s">
        <v>108</v>
      </c>
      <c r="F49" s="1" t="s">
        <v>109</v>
      </c>
      <c r="G49" s="43">
        <f t="shared" si="0"/>
        <v>5570.9000000000005</v>
      </c>
      <c r="H49" s="6"/>
      <c r="I49" s="6"/>
      <c r="J49" s="6">
        <f>545.3+478.1+492.4+483.2+423.5+429.2+381.3+398.9+435+455.7+527.6+520.7</f>
        <v>5570.9000000000005</v>
      </c>
      <c r="K49" s="6"/>
      <c r="L49" s="41"/>
      <c r="M49" s="44"/>
      <c r="P49" s="59"/>
    </row>
    <row r="50" spans="3:16" s="39" customFormat="1" ht="22.5" x14ac:dyDescent="0.2">
      <c r="C50" s="40"/>
      <c r="D50" s="42" t="s">
        <v>110</v>
      </c>
      <c r="E50" s="10" t="s">
        <v>111</v>
      </c>
      <c r="F50" s="1" t="s">
        <v>112</v>
      </c>
      <c r="G50" s="43">
        <f t="shared" si="0"/>
        <v>-490.69300000000044</v>
      </c>
      <c r="H50" s="43">
        <f>H47-H49</f>
        <v>0</v>
      </c>
      <c r="I50" s="43">
        <f>I47-I49</f>
        <v>0</v>
      </c>
      <c r="J50" s="43">
        <f>J47-J49</f>
        <v>-1370.4980000000005</v>
      </c>
      <c r="K50" s="43">
        <f>K47-K49</f>
        <v>879.80500000000006</v>
      </c>
      <c r="L50" s="41"/>
      <c r="M50" s="44"/>
      <c r="P50" s="59"/>
    </row>
    <row r="51" spans="3:16" s="39" customFormat="1" ht="15" customHeight="1" x14ac:dyDescent="0.2">
      <c r="C51" s="40"/>
      <c r="D51" s="42" t="s">
        <v>113</v>
      </c>
      <c r="E51" s="3" t="s">
        <v>26</v>
      </c>
      <c r="F51" s="1" t="s">
        <v>114</v>
      </c>
      <c r="G51" s="43">
        <f t="shared" si="0"/>
        <v>0</v>
      </c>
      <c r="H51" s="43">
        <f>(H15+H27+H32)-(H33+H44+H45+H46+H47)</f>
        <v>0</v>
      </c>
      <c r="I51" s="43">
        <f>(I15+I27+I32)-(I33+I44+I45+I46+I47)</f>
        <v>0</v>
      </c>
      <c r="J51" s="43">
        <f>(J15+J27+J32)-(J33+J44+J45+J46+J47)</f>
        <v>33962.103999999999</v>
      </c>
      <c r="K51" s="43">
        <f>(K15+K27+K32)-(K33+K44+K45+K46+K47)</f>
        <v>-33962.103999999999</v>
      </c>
      <c r="L51" s="41"/>
      <c r="M51" s="44"/>
      <c r="P51" s="4">
        <v>210</v>
      </c>
    </row>
    <row r="52" spans="3:16" s="39" customFormat="1" ht="15" customHeight="1" x14ac:dyDescent="0.2">
      <c r="C52" s="40"/>
      <c r="D52" s="18" t="s">
        <v>115</v>
      </c>
      <c r="E52" s="19"/>
      <c r="F52" s="19"/>
      <c r="G52" s="19"/>
      <c r="H52" s="19"/>
      <c r="I52" s="19"/>
      <c r="J52" s="19"/>
      <c r="K52" s="20"/>
      <c r="L52" s="41"/>
      <c r="M52" s="44"/>
      <c r="P52" s="59"/>
    </row>
    <row r="53" spans="3:16" s="39" customFormat="1" ht="15" customHeight="1" x14ac:dyDescent="0.2">
      <c r="C53" s="40"/>
      <c r="D53" s="42" t="s">
        <v>116</v>
      </c>
      <c r="E53" s="3" t="s">
        <v>42</v>
      </c>
      <c r="F53" s="1" t="s">
        <v>117</v>
      </c>
      <c r="G53" s="43">
        <f t="shared" si="0"/>
        <v>0</v>
      </c>
      <c r="H53" s="43">
        <f>H54+H55+H58+H61</f>
        <v>0</v>
      </c>
      <c r="I53" s="43">
        <f>I54+I55+I58+I61</f>
        <v>0</v>
      </c>
      <c r="J53" s="43">
        <f>J54+J55+J58+J61</f>
        <v>0</v>
      </c>
      <c r="K53" s="43">
        <f>K54+K55+K58+K61</f>
        <v>0</v>
      </c>
      <c r="L53" s="41"/>
      <c r="M53" s="44"/>
      <c r="P53" s="4">
        <v>300</v>
      </c>
    </row>
    <row r="54" spans="3:16" s="39" customFormat="1" ht="15" customHeight="1" x14ac:dyDescent="0.2">
      <c r="C54" s="40"/>
      <c r="D54" s="42" t="s">
        <v>118</v>
      </c>
      <c r="E54" s="5" t="s">
        <v>44</v>
      </c>
      <c r="F54" s="1" t="s">
        <v>119</v>
      </c>
      <c r="G54" s="43">
        <f t="shared" si="0"/>
        <v>0</v>
      </c>
      <c r="H54" s="6"/>
      <c r="I54" s="6"/>
      <c r="J54" s="6"/>
      <c r="K54" s="6"/>
      <c r="L54" s="41"/>
      <c r="M54" s="44"/>
      <c r="P54" s="4">
        <v>310</v>
      </c>
    </row>
    <row r="55" spans="3:16" s="39" customFormat="1" ht="15" customHeight="1" x14ac:dyDescent="0.2">
      <c r="C55" s="40"/>
      <c r="D55" s="42" t="s">
        <v>120</v>
      </c>
      <c r="E55" s="5" t="s">
        <v>46</v>
      </c>
      <c r="F55" s="1" t="s">
        <v>121</v>
      </c>
      <c r="G55" s="43">
        <f t="shared" si="0"/>
        <v>0</v>
      </c>
      <c r="H55" s="43">
        <f>SUM(H56:H57)</f>
        <v>0</v>
      </c>
      <c r="I55" s="43">
        <f>SUM(I56:I57)</f>
        <v>0</v>
      </c>
      <c r="J55" s="43">
        <f>SUM(J56:J57)</f>
        <v>0</v>
      </c>
      <c r="K55" s="43">
        <f>SUM(K56:K57)</f>
        <v>0</v>
      </c>
      <c r="L55" s="41"/>
      <c r="M55" s="44"/>
      <c r="P55" s="4">
        <v>320</v>
      </c>
    </row>
    <row r="56" spans="3:16" s="39" customFormat="1" ht="12.75" hidden="1" x14ac:dyDescent="0.2">
      <c r="C56" s="40"/>
      <c r="D56" s="45" t="s">
        <v>122</v>
      </c>
      <c r="E56" s="46"/>
      <c r="F56" s="47" t="s">
        <v>121</v>
      </c>
      <c r="G56" s="48"/>
      <c r="H56" s="48"/>
      <c r="I56" s="48"/>
      <c r="J56" s="48"/>
      <c r="K56" s="48"/>
      <c r="L56" s="41"/>
      <c r="M56" s="44"/>
      <c r="P56" s="4"/>
    </row>
    <row r="57" spans="3:16" s="39" customFormat="1" ht="15" customHeight="1" x14ac:dyDescent="0.2">
      <c r="C57" s="40"/>
      <c r="D57" s="55"/>
      <c r="E57" s="56" t="s">
        <v>49</v>
      </c>
      <c r="F57" s="57"/>
      <c r="G57" s="57"/>
      <c r="H57" s="57"/>
      <c r="I57" s="57"/>
      <c r="J57" s="57"/>
      <c r="K57" s="58"/>
      <c r="L57" s="41"/>
      <c r="M57" s="44"/>
      <c r="P57" s="4"/>
    </row>
    <row r="58" spans="3:16" s="39" customFormat="1" ht="15" customHeight="1" x14ac:dyDescent="0.2">
      <c r="C58" s="40"/>
      <c r="D58" s="42" t="s">
        <v>123</v>
      </c>
      <c r="E58" s="5" t="s">
        <v>51</v>
      </c>
      <c r="F58" s="1" t="s">
        <v>124</v>
      </c>
      <c r="G58" s="43">
        <f t="shared" si="0"/>
        <v>0</v>
      </c>
      <c r="H58" s="43">
        <f>SUM(H59:H60)</f>
        <v>0</v>
      </c>
      <c r="I58" s="43">
        <f>SUM(I59:I60)</f>
        <v>0</v>
      </c>
      <c r="J58" s="43">
        <f>SUM(J59:J60)</f>
        <v>0</v>
      </c>
      <c r="K58" s="43">
        <f>SUM(K59:K60)</f>
        <v>0</v>
      </c>
      <c r="L58" s="41"/>
      <c r="M58" s="44"/>
      <c r="P58" s="4"/>
    </row>
    <row r="59" spans="3:16" s="39" customFormat="1" ht="12.75" hidden="1" customHeight="1" x14ac:dyDescent="0.2">
      <c r="C59" s="40"/>
      <c r="D59" s="45" t="s">
        <v>125</v>
      </c>
      <c r="E59" s="46"/>
      <c r="F59" s="47" t="s">
        <v>124</v>
      </c>
      <c r="G59" s="48"/>
      <c r="H59" s="48"/>
      <c r="I59" s="48"/>
      <c r="J59" s="48"/>
      <c r="K59" s="48"/>
      <c r="L59" s="41"/>
      <c r="M59" s="44"/>
      <c r="P59" s="4"/>
    </row>
    <row r="60" spans="3:16" s="39" customFormat="1" ht="15" customHeight="1" x14ac:dyDescent="0.2">
      <c r="C60" s="40"/>
      <c r="D60" s="55"/>
      <c r="E60" s="56" t="s">
        <v>49</v>
      </c>
      <c r="F60" s="57"/>
      <c r="G60" s="57"/>
      <c r="H60" s="57"/>
      <c r="I60" s="57"/>
      <c r="J60" s="57"/>
      <c r="K60" s="58"/>
      <c r="L60" s="41"/>
      <c r="M60" s="44"/>
      <c r="P60" s="4"/>
    </row>
    <row r="61" spans="3:16" s="39" customFormat="1" ht="15" customHeight="1" x14ac:dyDescent="0.2">
      <c r="C61" s="40"/>
      <c r="D61" s="42" t="s">
        <v>126</v>
      </c>
      <c r="E61" s="5" t="s">
        <v>55</v>
      </c>
      <c r="F61" s="1" t="s">
        <v>127</v>
      </c>
      <c r="G61" s="43">
        <f t="shared" si="0"/>
        <v>0</v>
      </c>
      <c r="H61" s="43">
        <f>SUM(H62:H63)</f>
        <v>0</v>
      </c>
      <c r="I61" s="43">
        <f>SUM(I62:I63)</f>
        <v>0</v>
      </c>
      <c r="J61" s="43">
        <f>SUM(J62:J63)</f>
        <v>0</v>
      </c>
      <c r="K61" s="43">
        <f>SUM(K62:K63)</f>
        <v>0</v>
      </c>
      <c r="L61" s="41"/>
      <c r="M61" s="44"/>
      <c r="P61" s="4">
        <v>330</v>
      </c>
    </row>
    <row r="62" spans="3:16" s="39" customFormat="1" ht="12.75" hidden="1" customHeight="1" x14ac:dyDescent="0.2">
      <c r="C62" s="40"/>
      <c r="D62" s="45" t="s">
        <v>128</v>
      </c>
      <c r="E62" s="46"/>
      <c r="F62" s="47" t="s">
        <v>127</v>
      </c>
      <c r="G62" s="48"/>
      <c r="H62" s="48"/>
      <c r="I62" s="48"/>
      <c r="J62" s="48"/>
      <c r="K62" s="48"/>
      <c r="L62" s="41"/>
      <c r="M62" s="44"/>
      <c r="P62" s="4"/>
    </row>
    <row r="63" spans="3:16" s="39" customFormat="1" ht="15" customHeight="1" x14ac:dyDescent="0.2">
      <c r="C63" s="40"/>
      <c r="D63" s="55"/>
      <c r="E63" s="56" t="s">
        <v>49</v>
      </c>
      <c r="F63" s="57"/>
      <c r="G63" s="57"/>
      <c r="H63" s="57"/>
      <c r="I63" s="57"/>
      <c r="J63" s="57"/>
      <c r="K63" s="58"/>
      <c r="L63" s="41"/>
      <c r="M63" s="44"/>
      <c r="P63" s="4"/>
    </row>
    <row r="64" spans="3:16" s="39" customFormat="1" ht="15" customHeight="1" x14ac:dyDescent="0.2">
      <c r="C64" s="40"/>
      <c r="D64" s="42" t="s">
        <v>129</v>
      </c>
      <c r="E64" s="3" t="s">
        <v>20</v>
      </c>
      <c r="F64" s="1" t="s">
        <v>130</v>
      </c>
      <c r="G64" s="43">
        <f t="shared" si="0"/>
        <v>0</v>
      </c>
      <c r="H64" s="43">
        <f>H66+H67+H68</f>
        <v>0</v>
      </c>
      <c r="I64" s="43">
        <f>I65+I67+I68</f>
        <v>0</v>
      </c>
      <c r="J64" s="43">
        <f>J65+J66+J68</f>
        <v>0</v>
      </c>
      <c r="K64" s="43">
        <f>K65+K66+K67</f>
        <v>0</v>
      </c>
      <c r="L64" s="41"/>
      <c r="M64" s="44"/>
      <c r="P64" s="4">
        <v>340</v>
      </c>
    </row>
    <row r="65" spans="3:16" s="39" customFormat="1" ht="15" customHeight="1" x14ac:dyDescent="0.2">
      <c r="C65" s="40"/>
      <c r="D65" s="42" t="s">
        <v>131</v>
      </c>
      <c r="E65" s="5" t="s">
        <v>0</v>
      </c>
      <c r="F65" s="1" t="s">
        <v>132</v>
      </c>
      <c r="G65" s="43">
        <f t="shared" si="0"/>
        <v>0</v>
      </c>
      <c r="H65" s="60"/>
      <c r="I65" s="6"/>
      <c r="J65" s="6"/>
      <c r="K65" s="6"/>
      <c r="L65" s="41"/>
      <c r="M65" s="44"/>
      <c r="P65" s="4">
        <v>350</v>
      </c>
    </row>
    <row r="66" spans="3:16" s="39" customFormat="1" ht="15" customHeight="1" x14ac:dyDescent="0.2">
      <c r="C66" s="40"/>
      <c r="D66" s="42" t="s">
        <v>133</v>
      </c>
      <c r="E66" s="5" t="s">
        <v>18</v>
      </c>
      <c r="F66" s="1" t="s">
        <v>134</v>
      </c>
      <c r="G66" s="43">
        <f t="shared" si="0"/>
        <v>0</v>
      </c>
      <c r="H66" s="6"/>
      <c r="I66" s="62"/>
      <c r="J66" s="6"/>
      <c r="K66" s="6"/>
      <c r="L66" s="41"/>
      <c r="M66" s="44"/>
      <c r="P66" s="4">
        <v>360</v>
      </c>
    </row>
    <row r="67" spans="3:16" s="39" customFormat="1" ht="15" customHeight="1" x14ac:dyDescent="0.2">
      <c r="C67" s="40"/>
      <c r="D67" s="42" t="s">
        <v>135</v>
      </c>
      <c r="E67" s="5" t="s">
        <v>19</v>
      </c>
      <c r="F67" s="1" t="s">
        <v>136</v>
      </c>
      <c r="G67" s="43">
        <f t="shared" si="0"/>
        <v>0</v>
      </c>
      <c r="H67" s="6"/>
      <c r="I67" s="6"/>
      <c r="J67" s="60"/>
      <c r="K67" s="6"/>
      <c r="L67" s="41"/>
      <c r="M67" s="44"/>
      <c r="P67" s="4">
        <v>370</v>
      </c>
    </row>
    <row r="68" spans="3:16" s="39" customFormat="1" ht="15" customHeight="1" x14ac:dyDescent="0.2">
      <c r="C68" s="40"/>
      <c r="D68" s="42" t="s">
        <v>137</v>
      </c>
      <c r="E68" s="5" t="s">
        <v>21</v>
      </c>
      <c r="F68" s="1" t="s">
        <v>138</v>
      </c>
      <c r="G68" s="43">
        <f t="shared" si="0"/>
        <v>0</v>
      </c>
      <c r="H68" s="6"/>
      <c r="I68" s="6"/>
      <c r="J68" s="6"/>
      <c r="K68" s="60"/>
      <c r="L68" s="41"/>
      <c r="M68" s="44"/>
      <c r="P68" s="4">
        <v>380</v>
      </c>
    </row>
    <row r="69" spans="3:16" s="39" customFormat="1" ht="15" customHeight="1" x14ac:dyDescent="0.2">
      <c r="C69" s="40"/>
      <c r="D69" s="42" t="s">
        <v>139</v>
      </c>
      <c r="E69" s="10" t="s">
        <v>24</v>
      </c>
      <c r="F69" s="1" t="s">
        <v>140</v>
      </c>
      <c r="G69" s="43">
        <f t="shared" si="0"/>
        <v>0</v>
      </c>
      <c r="H69" s="6"/>
      <c r="I69" s="6"/>
      <c r="J69" s="6"/>
      <c r="K69" s="6"/>
      <c r="L69" s="41"/>
      <c r="M69" s="44"/>
      <c r="P69" s="4"/>
    </row>
    <row r="70" spans="3:16" s="39" customFormat="1" ht="15" customHeight="1" x14ac:dyDescent="0.2">
      <c r="C70" s="40"/>
      <c r="D70" s="42" t="s">
        <v>141</v>
      </c>
      <c r="E70" s="3" t="s">
        <v>72</v>
      </c>
      <c r="F70" s="1" t="s">
        <v>142</v>
      </c>
      <c r="G70" s="43">
        <f t="shared" si="0"/>
        <v>0</v>
      </c>
      <c r="H70" s="43">
        <f>H71+H73+H76+H79</f>
        <v>0</v>
      </c>
      <c r="I70" s="43">
        <f>I71+I73+I76+I79</f>
        <v>0</v>
      </c>
      <c r="J70" s="43">
        <f>J71+J73+J76+J79</f>
        <v>0</v>
      </c>
      <c r="K70" s="43">
        <f>K71+K73+K76+K79</f>
        <v>0</v>
      </c>
      <c r="L70" s="41"/>
      <c r="M70" s="44"/>
      <c r="P70" s="4">
        <v>390</v>
      </c>
    </row>
    <row r="71" spans="3:16" s="39" customFormat="1" ht="22.5" x14ac:dyDescent="0.2">
      <c r="C71" s="40"/>
      <c r="D71" s="42" t="s">
        <v>143</v>
      </c>
      <c r="E71" s="5" t="s">
        <v>75</v>
      </c>
      <c r="F71" s="1" t="s">
        <v>144</v>
      </c>
      <c r="G71" s="43">
        <f t="shared" si="0"/>
        <v>0</v>
      </c>
      <c r="H71" s="6"/>
      <c r="I71" s="6"/>
      <c r="J71" s="6"/>
      <c r="K71" s="6"/>
      <c r="L71" s="41"/>
      <c r="M71" s="44"/>
      <c r="P71" s="4"/>
    </row>
    <row r="72" spans="3:16" s="39" customFormat="1" ht="15" customHeight="1" x14ac:dyDescent="0.2">
      <c r="C72" s="40"/>
      <c r="D72" s="42" t="s">
        <v>145</v>
      </c>
      <c r="E72" s="11" t="s">
        <v>78</v>
      </c>
      <c r="F72" s="1" t="s">
        <v>146</v>
      </c>
      <c r="G72" s="43">
        <f t="shared" si="0"/>
        <v>0</v>
      </c>
      <c r="H72" s="6"/>
      <c r="I72" s="6"/>
      <c r="J72" s="6"/>
      <c r="K72" s="6"/>
      <c r="L72" s="41"/>
      <c r="M72" s="44"/>
      <c r="P72" s="4"/>
    </row>
    <row r="73" spans="3:16" s="39" customFormat="1" ht="15" customHeight="1" x14ac:dyDescent="0.2">
      <c r="C73" s="40"/>
      <c r="D73" s="42" t="s">
        <v>147</v>
      </c>
      <c r="E73" s="5" t="s">
        <v>81</v>
      </c>
      <c r="F73" s="1" t="s">
        <v>148</v>
      </c>
      <c r="G73" s="43">
        <f t="shared" si="0"/>
        <v>0</v>
      </c>
      <c r="H73" s="6"/>
      <c r="I73" s="6"/>
      <c r="J73" s="6"/>
      <c r="K73" s="6"/>
      <c r="L73" s="41"/>
      <c r="M73" s="44"/>
      <c r="P73" s="4"/>
    </row>
    <row r="74" spans="3:16" s="39" customFormat="1" ht="15" customHeight="1" x14ac:dyDescent="0.2">
      <c r="C74" s="40"/>
      <c r="D74" s="42" t="s">
        <v>149</v>
      </c>
      <c r="E74" s="11" t="s">
        <v>84</v>
      </c>
      <c r="F74" s="1" t="s">
        <v>150</v>
      </c>
      <c r="G74" s="43">
        <f t="shared" si="0"/>
        <v>0</v>
      </c>
      <c r="H74" s="6"/>
      <c r="I74" s="6"/>
      <c r="J74" s="6"/>
      <c r="K74" s="6"/>
      <c r="L74" s="41"/>
      <c r="M74" s="44"/>
      <c r="P74" s="4"/>
    </row>
    <row r="75" spans="3:16" s="39" customFormat="1" ht="15" customHeight="1" x14ac:dyDescent="0.2">
      <c r="C75" s="40"/>
      <c r="D75" s="42" t="s">
        <v>151</v>
      </c>
      <c r="E75" s="12" t="s">
        <v>78</v>
      </c>
      <c r="F75" s="1" t="s">
        <v>152</v>
      </c>
      <c r="G75" s="43">
        <f t="shared" si="0"/>
        <v>0</v>
      </c>
      <c r="H75" s="6"/>
      <c r="I75" s="6"/>
      <c r="J75" s="6"/>
      <c r="K75" s="6"/>
      <c r="L75" s="41"/>
      <c r="M75" s="44"/>
      <c r="P75" s="4"/>
    </row>
    <row r="76" spans="3:16" s="39" customFormat="1" ht="15" customHeight="1" x14ac:dyDescent="0.2">
      <c r="C76" s="40"/>
      <c r="D76" s="42" t="s">
        <v>153</v>
      </c>
      <c r="E76" s="5" t="s">
        <v>89</v>
      </c>
      <c r="F76" s="1" t="s">
        <v>154</v>
      </c>
      <c r="G76" s="43">
        <f t="shared" si="0"/>
        <v>0</v>
      </c>
      <c r="H76" s="43">
        <f>SUM(H77:H78)</f>
        <v>0</v>
      </c>
      <c r="I76" s="43">
        <f>SUM(I77:I78)</f>
        <v>0</v>
      </c>
      <c r="J76" s="43">
        <f>SUM(J77:J78)</f>
        <v>0</v>
      </c>
      <c r="K76" s="43">
        <f>SUM(K77:K78)</f>
        <v>0</v>
      </c>
      <c r="L76" s="41"/>
      <c r="M76" s="44"/>
      <c r="P76" s="4"/>
    </row>
    <row r="77" spans="3:16" s="39" customFormat="1" ht="12.75" hidden="1" customHeight="1" x14ac:dyDescent="0.2">
      <c r="C77" s="40"/>
      <c r="D77" s="45" t="s">
        <v>155</v>
      </c>
      <c r="E77" s="46"/>
      <c r="F77" s="47" t="s">
        <v>154</v>
      </c>
      <c r="G77" s="48"/>
      <c r="H77" s="48"/>
      <c r="I77" s="48"/>
      <c r="J77" s="48"/>
      <c r="K77" s="48"/>
      <c r="L77" s="41"/>
      <c r="M77" s="44"/>
      <c r="P77" s="4"/>
    </row>
    <row r="78" spans="3:16" s="39" customFormat="1" ht="15" customHeight="1" x14ac:dyDescent="0.2">
      <c r="C78" s="40"/>
      <c r="D78" s="55"/>
      <c r="E78" s="56" t="s">
        <v>49</v>
      </c>
      <c r="F78" s="57"/>
      <c r="G78" s="57"/>
      <c r="H78" s="57"/>
      <c r="I78" s="57"/>
      <c r="J78" s="57"/>
      <c r="K78" s="58"/>
      <c r="L78" s="41"/>
      <c r="M78" s="44"/>
      <c r="P78" s="4"/>
    </row>
    <row r="79" spans="3:16" s="39" customFormat="1" ht="15" customHeight="1" x14ac:dyDescent="0.2">
      <c r="C79" s="40"/>
      <c r="D79" s="42" t="s">
        <v>156</v>
      </c>
      <c r="E79" s="5" t="s">
        <v>93</v>
      </c>
      <c r="F79" s="1" t="s">
        <v>157</v>
      </c>
      <c r="G79" s="43">
        <f t="shared" si="0"/>
        <v>0</v>
      </c>
      <c r="H79" s="6"/>
      <c r="I79" s="6"/>
      <c r="J79" s="6"/>
      <c r="K79" s="6"/>
      <c r="L79" s="41"/>
      <c r="M79" s="44"/>
      <c r="P79" s="4">
        <v>410</v>
      </c>
    </row>
    <row r="80" spans="3:16" s="39" customFormat="1" ht="15" customHeight="1" x14ac:dyDescent="0.2">
      <c r="C80" s="40"/>
      <c r="D80" s="42" t="s">
        <v>158</v>
      </c>
      <c r="E80" s="3" t="s">
        <v>22</v>
      </c>
      <c r="F80" s="1" t="s">
        <v>159</v>
      </c>
      <c r="G80" s="43">
        <f t="shared" si="0"/>
        <v>0</v>
      </c>
      <c r="H80" s="6"/>
      <c r="I80" s="6"/>
      <c r="J80" s="6"/>
      <c r="K80" s="6"/>
      <c r="L80" s="41"/>
      <c r="M80" s="44"/>
      <c r="P80" s="4">
        <v>440</v>
      </c>
    </row>
    <row r="81" spans="3:16" s="39" customFormat="1" ht="15" customHeight="1" x14ac:dyDescent="0.2">
      <c r="C81" s="40"/>
      <c r="D81" s="42" t="s">
        <v>160</v>
      </c>
      <c r="E81" s="3" t="s">
        <v>23</v>
      </c>
      <c r="F81" s="1" t="s">
        <v>161</v>
      </c>
      <c r="G81" s="43">
        <f t="shared" si="0"/>
        <v>0</v>
      </c>
      <c r="H81" s="6"/>
      <c r="I81" s="6"/>
      <c r="J81" s="6"/>
      <c r="K81" s="6"/>
      <c r="L81" s="41"/>
      <c r="M81" s="44"/>
      <c r="P81" s="4">
        <v>450</v>
      </c>
    </row>
    <row r="82" spans="3:16" s="39" customFormat="1" ht="15" customHeight="1" x14ac:dyDescent="0.2">
      <c r="C82" s="40"/>
      <c r="D82" s="42" t="s">
        <v>162</v>
      </c>
      <c r="E82" s="3" t="s">
        <v>25</v>
      </c>
      <c r="F82" s="1" t="s">
        <v>163</v>
      </c>
      <c r="G82" s="43">
        <f t="shared" si="0"/>
        <v>0</v>
      </c>
      <c r="H82" s="6"/>
      <c r="I82" s="6"/>
      <c r="J82" s="6"/>
      <c r="K82" s="6"/>
      <c r="L82" s="41"/>
      <c r="M82" s="44"/>
      <c r="P82" s="4">
        <v>470</v>
      </c>
    </row>
    <row r="83" spans="3:16" s="39" customFormat="1" ht="15" customHeight="1" x14ac:dyDescent="0.2">
      <c r="C83" s="40"/>
      <c r="D83" s="42" t="s">
        <v>164</v>
      </c>
      <c r="E83" s="3" t="s">
        <v>102</v>
      </c>
      <c r="F83" s="1" t="s">
        <v>165</v>
      </c>
      <c r="G83" s="43">
        <f t="shared" si="0"/>
        <v>0</v>
      </c>
      <c r="H83" s="6"/>
      <c r="I83" s="6"/>
      <c r="J83" s="6"/>
      <c r="K83" s="6"/>
      <c r="L83" s="41"/>
      <c r="M83" s="44"/>
      <c r="P83" s="4">
        <v>480</v>
      </c>
    </row>
    <row r="84" spans="3:16" s="39" customFormat="1" ht="15" customHeight="1" x14ac:dyDescent="0.2">
      <c r="C84" s="40"/>
      <c r="D84" s="42" t="s">
        <v>166</v>
      </c>
      <c r="E84" s="5" t="s">
        <v>167</v>
      </c>
      <c r="F84" s="1" t="s">
        <v>168</v>
      </c>
      <c r="G84" s="43">
        <f t="shared" si="0"/>
        <v>0</v>
      </c>
      <c r="H84" s="6"/>
      <c r="I84" s="6"/>
      <c r="J84" s="6"/>
      <c r="K84" s="6"/>
      <c r="L84" s="41"/>
      <c r="M84" s="44"/>
      <c r="P84" s="4">
        <v>490</v>
      </c>
    </row>
    <row r="85" spans="3:16" s="39" customFormat="1" ht="15" customHeight="1" x14ac:dyDescent="0.2">
      <c r="C85" s="40"/>
      <c r="D85" s="42" t="s">
        <v>169</v>
      </c>
      <c r="E85" s="3" t="s">
        <v>108</v>
      </c>
      <c r="F85" s="1" t="s">
        <v>170</v>
      </c>
      <c r="G85" s="43">
        <f t="shared" si="0"/>
        <v>0</v>
      </c>
      <c r="H85" s="6"/>
      <c r="I85" s="6"/>
      <c r="J85" s="6"/>
      <c r="K85" s="6"/>
      <c r="L85" s="41"/>
      <c r="M85" s="44"/>
      <c r="P85" s="4"/>
    </row>
    <row r="86" spans="3:16" s="39" customFormat="1" ht="22.5" x14ac:dyDescent="0.2">
      <c r="C86" s="40"/>
      <c r="D86" s="42" t="s">
        <v>171</v>
      </c>
      <c r="E86" s="10" t="s">
        <v>111</v>
      </c>
      <c r="F86" s="1" t="s">
        <v>172</v>
      </c>
      <c r="G86" s="43">
        <f t="shared" si="0"/>
        <v>0</v>
      </c>
      <c r="H86" s="43">
        <f>H83-H85</f>
        <v>0</v>
      </c>
      <c r="I86" s="43">
        <f>I83-I85</f>
        <v>0</v>
      </c>
      <c r="J86" s="43">
        <f>J83-J85</f>
        <v>0</v>
      </c>
      <c r="K86" s="43">
        <f>K83-K85</f>
        <v>0</v>
      </c>
      <c r="L86" s="41"/>
      <c r="M86" s="44"/>
      <c r="P86" s="4"/>
    </row>
    <row r="87" spans="3:16" s="39" customFormat="1" ht="15" customHeight="1" x14ac:dyDescent="0.2">
      <c r="C87" s="40"/>
      <c r="D87" s="42" t="s">
        <v>173</v>
      </c>
      <c r="E87" s="3" t="s">
        <v>26</v>
      </c>
      <c r="F87" s="1" t="s">
        <v>174</v>
      </c>
      <c r="G87" s="43">
        <f t="shared" si="0"/>
        <v>0</v>
      </c>
      <c r="H87" s="43">
        <f>(H53+H64+H69)-(H70+H80+H81+H82+H83)</f>
        <v>0</v>
      </c>
      <c r="I87" s="43">
        <f>(I53+I64+I69)-(I70+I80+I81+I82+I83)</f>
        <v>0</v>
      </c>
      <c r="J87" s="43">
        <f>(J53+J64+J69)-(J70+J80+J81+J82+J83)</f>
        <v>0</v>
      </c>
      <c r="K87" s="43">
        <f>(K53+K64+K69)-(K70+K80+K81+K82+K83)</f>
        <v>0</v>
      </c>
      <c r="L87" s="41"/>
      <c r="M87" s="44"/>
      <c r="P87" s="4">
        <v>500</v>
      </c>
    </row>
    <row r="88" spans="3:16" s="39" customFormat="1" ht="15" customHeight="1" x14ac:dyDescent="0.2">
      <c r="C88" s="40"/>
      <c r="D88" s="18" t="s">
        <v>175</v>
      </c>
      <c r="E88" s="19"/>
      <c r="F88" s="19"/>
      <c r="G88" s="19"/>
      <c r="H88" s="19"/>
      <c r="I88" s="19"/>
      <c r="J88" s="19"/>
      <c r="K88" s="20"/>
      <c r="L88" s="41"/>
      <c r="M88" s="44"/>
      <c r="P88" s="59"/>
    </row>
    <row r="89" spans="3:16" s="39" customFormat="1" ht="15" customHeight="1" x14ac:dyDescent="0.2">
      <c r="C89" s="40"/>
      <c r="D89" s="42" t="s">
        <v>176</v>
      </c>
      <c r="E89" s="3" t="s">
        <v>27</v>
      </c>
      <c r="F89" s="1" t="s">
        <v>177</v>
      </c>
      <c r="G89" s="43">
        <f t="shared" si="0"/>
        <v>8.9294999999999991</v>
      </c>
      <c r="H89" s="6"/>
      <c r="I89" s="6"/>
      <c r="J89" s="6">
        <f>(9.123*6+8.736*6)/12</f>
        <v>8.9294999999999991</v>
      </c>
      <c r="K89" s="6"/>
      <c r="L89" s="41"/>
      <c r="M89" s="44"/>
      <c r="P89" s="4">
        <v>600</v>
      </c>
    </row>
    <row r="90" spans="3:16" s="39" customFormat="1" ht="15" customHeight="1" x14ac:dyDescent="0.2">
      <c r="C90" s="40"/>
      <c r="D90" s="42" t="s">
        <v>178</v>
      </c>
      <c r="E90" s="3" t="s">
        <v>28</v>
      </c>
      <c r="F90" s="1" t="s">
        <v>179</v>
      </c>
      <c r="G90" s="43">
        <f t="shared" si="0"/>
        <v>41.8</v>
      </c>
      <c r="H90" s="6"/>
      <c r="I90" s="6"/>
      <c r="J90" s="6">
        <v>41.8</v>
      </c>
      <c r="K90" s="6"/>
      <c r="L90" s="41"/>
      <c r="M90" s="44"/>
      <c r="P90" s="4">
        <v>610</v>
      </c>
    </row>
    <row r="91" spans="3:16" s="39" customFormat="1" ht="15" customHeight="1" x14ac:dyDescent="0.2">
      <c r="C91" s="40"/>
      <c r="D91" s="42" t="s">
        <v>180</v>
      </c>
      <c r="E91" s="3" t="s">
        <v>29</v>
      </c>
      <c r="F91" s="1" t="s">
        <v>181</v>
      </c>
      <c r="G91" s="43">
        <f t="shared" si="0"/>
        <v>0</v>
      </c>
      <c r="H91" s="6"/>
      <c r="I91" s="6"/>
      <c r="J91" s="6"/>
      <c r="K91" s="6"/>
      <c r="L91" s="41"/>
      <c r="M91" s="44"/>
      <c r="P91" s="4">
        <v>620</v>
      </c>
    </row>
    <row r="92" spans="3:16" s="39" customFormat="1" ht="15" customHeight="1" x14ac:dyDescent="0.2">
      <c r="C92" s="40"/>
      <c r="D92" s="18" t="s">
        <v>182</v>
      </c>
      <c r="E92" s="19"/>
      <c r="F92" s="19"/>
      <c r="G92" s="19"/>
      <c r="H92" s="19"/>
      <c r="I92" s="19"/>
      <c r="J92" s="19"/>
      <c r="K92" s="20"/>
      <c r="L92" s="41"/>
      <c r="M92" s="44"/>
      <c r="P92" s="59"/>
    </row>
    <row r="93" spans="3:16" s="39" customFormat="1" ht="15" customHeight="1" x14ac:dyDescent="0.2">
      <c r="C93" s="40"/>
      <c r="D93" s="42" t="s">
        <v>183</v>
      </c>
      <c r="E93" s="3" t="s">
        <v>184</v>
      </c>
      <c r="F93" s="1" t="s">
        <v>185</v>
      </c>
      <c r="G93" s="43">
        <f t="shared" si="0"/>
        <v>14293.761</v>
      </c>
      <c r="H93" s="43">
        <f>SUM(H94:H95)</f>
        <v>0</v>
      </c>
      <c r="I93" s="43">
        <f>SUM(I94:I95)</f>
        <v>0</v>
      </c>
      <c r="J93" s="43">
        <f>SUM(J94:J95)</f>
        <v>9843.259</v>
      </c>
      <c r="K93" s="43">
        <f>SUM(K94:K95)</f>
        <v>4450.5020000000004</v>
      </c>
      <c r="L93" s="41"/>
      <c r="M93" s="44"/>
      <c r="P93" s="4">
        <v>700</v>
      </c>
    </row>
    <row r="94" spans="3:16" ht="15" customHeight="1" x14ac:dyDescent="0.2">
      <c r="D94" s="63" t="s">
        <v>186</v>
      </c>
      <c r="E94" s="5" t="s">
        <v>30</v>
      </c>
      <c r="F94" s="1" t="s">
        <v>187</v>
      </c>
      <c r="G94" s="43">
        <f t="shared" si="0"/>
        <v>12775.647999999999</v>
      </c>
      <c r="H94" s="13"/>
      <c r="I94" s="13"/>
      <c r="J94" s="13">
        <f>J34-J98</f>
        <v>8373.4249999999993</v>
      </c>
      <c r="K94" s="13">
        <f>K34-K98</f>
        <v>4402.223</v>
      </c>
      <c r="L94" s="33"/>
      <c r="M94" s="44"/>
      <c r="P94" s="4">
        <v>710</v>
      </c>
    </row>
    <row r="95" spans="3:16" ht="15" customHeight="1" x14ac:dyDescent="0.2">
      <c r="D95" s="63" t="s">
        <v>188</v>
      </c>
      <c r="E95" s="5" t="s">
        <v>189</v>
      </c>
      <c r="F95" s="1" t="s">
        <v>190</v>
      </c>
      <c r="G95" s="43">
        <f t="shared" si="0"/>
        <v>1518.1130000000001</v>
      </c>
      <c r="H95" s="64">
        <f>H98</f>
        <v>0</v>
      </c>
      <c r="I95" s="64">
        <f>I98</f>
        <v>0</v>
      </c>
      <c r="J95" s="64">
        <f>J98</f>
        <v>1469.8340000000001</v>
      </c>
      <c r="K95" s="64">
        <f>K98</f>
        <v>48.279000000000003</v>
      </c>
      <c r="L95" s="33"/>
      <c r="M95" s="44"/>
      <c r="P95" s="4">
        <v>720</v>
      </c>
    </row>
    <row r="96" spans="3:16" ht="15" customHeight="1" x14ac:dyDescent="0.2">
      <c r="D96" s="63" t="s">
        <v>191</v>
      </c>
      <c r="E96" s="11" t="s">
        <v>192</v>
      </c>
      <c r="F96" s="1" t="s">
        <v>193</v>
      </c>
      <c r="G96" s="43">
        <f t="shared" si="0"/>
        <v>0.23411367083333331</v>
      </c>
      <c r="H96" s="13"/>
      <c r="I96" s="13"/>
      <c r="J96" s="13">
        <f>(0.57508117+0.5715421+0.56578285+0.00110818+0.242376+(0.232136+0.014)+(0.233775+0.019696)+(0.243778+0.017531))/12</f>
        <v>0.22640052499999999</v>
      </c>
      <c r="K96" s="13">
        <f>(0.01286705+0.01670263+0.01768857+0.0000045+0.006967+0.012431+0.012808+0.013089)/12</f>
        <v>7.713145833333334E-3</v>
      </c>
      <c r="L96" s="33"/>
      <c r="M96" s="44"/>
      <c r="P96" s="4">
        <v>730</v>
      </c>
    </row>
    <row r="97" spans="4:16" ht="15" customHeight="1" x14ac:dyDescent="0.2">
      <c r="D97" s="63" t="s">
        <v>194</v>
      </c>
      <c r="E97" s="12" t="s">
        <v>195</v>
      </c>
      <c r="F97" s="1" t="s">
        <v>196</v>
      </c>
      <c r="G97" s="43">
        <f t="shared" si="0"/>
        <v>0</v>
      </c>
      <c r="H97" s="13"/>
      <c r="I97" s="13"/>
      <c r="J97" s="13"/>
      <c r="K97" s="13"/>
      <c r="L97" s="33"/>
      <c r="M97" s="44"/>
      <c r="P97" s="4"/>
    </row>
    <row r="98" spans="4:16" ht="15" customHeight="1" x14ac:dyDescent="0.2">
      <c r="D98" s="63" t="s">
        <v>197</v>
      </c>
      <c r="E98" s="11" t="s">
        <v>198</v>
      </c>
      <c r="F98" s="1" t="s">
        <v>199</v>
      </c>
      <c r="G98" s="43">
        <f t="shared" si="0"/>
        <v>1518.1130000000001</v>
      </c>
      <c r="H98" s="13"/>
      <c r="I98" s="13"/>
      <c r="J98" s="13">
        <f>301.012+231.73+195.659+125.601+81.956+25.867+28.207+67.649+69.184+96.862+112.939+(128.146+5.022)</f>
        <v>1469.8340000000001</v>
      </c>
      <c r="K98" s="13">
        <f>6.658+6.643+6.048+3.951+2.525+0.794+0.704+2.419+3.545+5.118+6.171+3.703</f>
        <v>48.279000000000003</v>
      </c>
      <c r="L98" s="33"/>
      <c r="M98" s="44"/>
      <c r="P98" s="4">
        <v>740</v>
      </c>
    </row>
    <row r="99" spans="4:16" ht="15" customHeight="1" x14ac:dyDescent="0.2">
      <c r="D99" s="63" t="s">
        <v>200</v>
      </c>
      <c r="E99" s="3" t="s">
        <v>201</v>
      </c>
      <c r="F99" s="1" t="s">
        <v>202</v>
      </c>
      <c r="G99" s="43">
        <f t="shared" si="0"/>
        <v>31878.916999999998</v>
      </c>
      <c r="H99" s="64">
        <f>H100+H116</f>
        <v>0</v>
      </c>
      <c r="I99" s="64">
        <f>I100+I116</f>
        <v>0</v>
      </c>
      <c r="J99" s="64">
        <f>J100+J116</f>
        <v>3247.12</v>
      </c>
      <c r="K99" s="64">
        <f>K100+K116</f>
        <v>28631.796999999999</v>
      </c>
      <c r="L99" s="33"/>
      <c r="M99" s="44"/>
      <c r="P99" s="4">
        <v>750</v>
      </c>
    </row>
    <row r="100" spans="4:16" ht="15" customHeight="1" x14ac:dyDescent="0.2">
      <c r="D100" s="63" t="s">
        <v>203</v>
      </c>
      <c r="E100" s="5" t="s">
        <v>204</v>
      </c>
      <c r="F100" s="1" t="s">
        <v>205</v>
      </c>
      <c r="G100" s="43">
        <f t="shared" si="0"/>
        <v>27997.070999999996</v>
      </c>
      <c r="H100" s="64">
        <f>H101+H102</f>
        <v>0</v>
      </c>
      <c r="I100" s="64">
        <f>I101+I102</f>
        <v>0</v>
      </c>
      <c r="J100" s="64">
        <f>J101+J102</f>
        <v>766.63499999999999</v>
      </c>
      <c r="K100" s="64">
        <f>K101+K102</f>
        <v>27230.435999999998</v>
      </c>
      <c r="L100" s="33"/>
      <c r="M100" s="44"/>
      <c r="P100" s="4">
        <v>760</v>
      </c>
    </row>
    <row r="101" spans="4:16" ht="15" customHeight="1" x14ac:dyDescent="0.2">
      <c r="D101" s="63" t="s">
        <v>206</v>
      </c>
      <c r="E101" s="11" t="s">
        <v>207</v>
      </c>
      <c r="F101" s="1" t="s">
        <v>208</v>
      </c>
      <c r="G101" s="43">
        <f t="shared" si="0"/>
        <v>1805.8140000000001</v>
      </c>
      <c r="H101" s="13"/>
      <c r="I101" s="13"/>
      <c r="J101" s="13">
        <f>61.335+61.604+65.486+58.373+57.796+61.132+57.726+62.425+62.84+58.272+71.993+87.653</f>
        <v>766.63499999999999</v>
      </c>
      <c r="K101" s="13">
        <f>88.857+94.631+84.294+77.934+75.659+85.882+84.487+84.62+90.677+91.835+91.606+88.697</f>
        <v>1039.1790000000001</v>
      </c>
      <c r="L101" s="33"/>
      <c r="M101" s="44"/>
      <c r="P101" s="4"/>
    </row>
    <row r="102" spans="4:16" ht="15" customHeight="1" x14ac:dyDescent="0.2">
      <c r="D102" s="63" t="s">
        <v>209</v>
      </c>
      <c r="E102" s="11" t="s">
        <v>210</v>
      </c>
      <c r="F102" s="1" t="s">
        <v>211</v>
      </c>
      <c r="G102" s="43">
        <f t="shared" si="0"/>
        <v>26191.256999999998</v>
      </c>
      <c r="H102" s="64">
        <f>H103+H106+H109+H112+H113+H114+H115</f>
        <v>0</v>
      </c>
      <c r="I102" s="64">
        <f>I103+I106+I109+I112+I113+I114+I115</f>
        <v>0</v>
      </c>
      <c r="J102" s="64">
        <f>J103+J106+J109+J112+J113+J114+J115</f>
        <v>0</v>
      </c>
      <c r="K102" s="64">
        <f>K103+K106+K109+K112+K113+K114+K115</f>
        <v>26191.256999999998</v>
      </c>
      <c r="L102" s="33"/>
      <c r="M102" s="44"/>
      <c r="P102" s="4"/>
    </row>
    <row r="103" spans="4:16" ht="33.75" x14ac:dyDescent="0.2">
      <c r="D103" s="63" t="s">
        <v>212</v>
      </c>
      <c r="E103" s="12" t="s">
        <v>213</v>
      </c>
      <c r="F103" s="1" t="s">
        <v>214</v>
      </c>
      <c r="G103" s="43">
        <f t="shared" si="0"/>
        <v>21062.691999999999</v>
      </c>
      <c r="H103" s="65">
        <f>H104+H105</f>
        <v>0</v>
      </c>
      <c r="I103" s="65">
        <f>I104+I105</f>
        <v>0</v>
      </c>
      <c r="J103" s="65">
        <f>J104+J105</f>
        <v>0</v>
      </c>
      <c r="K103" s="65">
        <f>K104+K105</f>
        <v>21062.691999999999</v>
      </c>
      <c r="L103" s="33"/>
      <c r="M103" s="44"/>
      <c r="P103" s="4"/>
    </row>
    <row r="104" spans="4:16" ht="15" customHeight="1" x14ac:dyDescent="0.2">
      <c r="D104" s="63" t="s">
        <v>215</v>
      </c>
      <c r="E104" s="14" t="s">
        <v>216</v>
      </c>
      <c r="F104" s="1" t="s">
        <v>217</v>
      </c>
      <c r="G104" s="43">
        <f t="shared" si="0"/>
        <v>21062.691999999999</v>
      </c>
      <c r="H104" s="13"/>
      <c r="I104" s="13"/>
      <c r="J104" s="13"/>
      <c r="K104" s="13">
        <f>2165.482+1976.674+1733.348+1855.395+1693.156+1561.309+1477.603+1599.516+1639.842+1687.413+1866.493+1806.461</f>
        <v>21062.691999999999</v>
      </c>
      <c r="L104" s="33"/>
      <c r="M104" s="44"/>
      <c r="P104" s="4"/>
    </row>
    <row r="105" spans="4:16" ht="15" customHeight="1" x14ac:dyDescent="0.2">
      <c r="D105" s="63" t="s">
        <v>218</v>
      </c>
      <c r="E105" s="14" t="s">
        <v>219</v>
      </c>
      <c r="F105" s="1" t="s">
        <v>220</v>
      </c>
      <c r="G105" s="43">
        <f t="shared" si="0"/>
        <v>0</v>
      </c>
      <c r="H105" s="13"/>
      <c r="I105" s="13"/>
      <c r="J105" s="13"/>
      <c r="K105" s="13"/>
      <c r="L105" s="33"/>
      <c r="M105" s="44"/>
      <c r="P105" s="4"/>
    </row>
    <row r="106" spans="4:16" ht="33.75" x14ac:dyDescent="0.2">
      <c r="D106" s="63" t="s">
        <v>221</v>
      </c>
      <c r="E106" s="12" t="s">
        <v>222</v>
      </c>
      <c r="F106" s="1" t="s">
        <v>223</v>
      </c>
      <c r="G106" s="43">
        <f t="shared" si="0"/>
        <v>4534.5880000000006</v>
      </c>
      <c r="H106" s="65">
        <f>H107+H108</f>
        <v>0</v>
      </c>
      <c r="I106" s="65">
        <f>I107+I108</f>
        <v>0</v>
      </c>
      <c r="J106" s="65">
        <f>J107+J108</f>
        <v>0</v>
      </c>
      <c r="K106" s="65">
        <f>K107+K108</f>
        <v>4534.5880000000006</v>
      </c>
      <c r="L106" s="33"/>
      <c r="M106" s="44"/>
      <c r="P106" s="4"/>
    </row>
    <row r="107" spans="4:16" ht="15" customHeight="1" x14ac:dyDescent="0.2">
      <c r="D107" s="63" t="s">
        <v>224</v>
      </c>
      <c r="E107" s="14" t="s">
        <v>216</v>
      </c>
      <c r="F107" s="1" t="s">
        <v>225</v>
      </c>
      <c r="G107" s="43">
        <f t="shared" si="0"/>
        <v>4534.5880000000006</v>
      </c>
      <c r="H107" s="13"/>
      <c r="I107" s="13"/>
      <c r="J107" s="13"/>
      <c r="K107" s="13">
        <f>458.197+425.244+373.231+412.619+364.927+343.94+320.591+347.841+353.645+345.699+381.631+407.023</f>
        <v>4534.5880000000006</v>
      </c>
      <c r="L107" s="33"/>
      <c r="M107" s="44"/>
      <c r="P107" s="4"/>
    </row>
    <row r="108" spans="4:16" ht="15" customHeight="1" x14ac:dyDescent="0.2">
      <c r="D108" s="63" t="s">
        <v>226</v>
      </c>
      <c r="E108" s="14" t="s">
        <v>219</v>
      </c>
      <c r="F108" s="1" t="s">
        <v>227</v>
      </c>
      <c r="G108" s="43">
        <f t="shared" si="0"/>
        <v>0</v>
      </c>
      <c r="H108" s="13"/>
      <c r="I108" s="13"/>
      <c r="J108" s="13"/>
      <c r="K108" s="13"/>
      <c r="L108" s="33"/>
      <c r="M108" s="44"/>
      <c r="P108" s="4"/>
    </row>
    <row r="109" spans="4:16" ht="15" customHeight="1" x14ac:dyDescent="0.2">
      <c r="D109" s="63" t="s">
        <v>228</v>
      </c>
      <c r="E109" s="12" t="s">
        <v>229</v>
      </c>
      <c r="F109" s="1" t="s">
        <v>230</v>
      </c>
      <c r="G109" s="43">
        <f t="shared" si="0"/>
        <v>0</v>
      </c>
      <c r="H109" s="65">
        <f>H110+H111</f>
        <v>0</v>
      </c>
      <c r="I109" s="65">
        <f>I110+I111</f>
        <v>0</v>
      </c>
      <c r="J109" s="65">
        <f>J110+J111</f>
        <v>0</v>
      </c>
      <c r="K109" s="65">
        <f>K110+K111</f>
        <v>0</v>
      </c>
      <c r="L109" s="33"/>
      <c r="M109" s="44"/>
      <c r="P109" s="4"/>
    </row>
    <row r="110" spans="4:16" ht="15" customHeight="1" x14ac:dyDescent="0.2">
      <c r="D110" s="63" t="s">
        <v>231</v>
      </c>
      <c r="E110" s="14" t="s">
        <v>216</v>
      </c>
      <c r="F110" s="1" t="s">
        <v>232</v>
      </c>
      <c r="G110" s="43">
        <f t="shared" si="0"/>
        <v>0</v>
      </c>
      <c r="H110" s="13"/>
      <c r="I110" s="13"/>
      <c r="J110" s="13"/>
      <c r="K110" s="13"/>
      <c r="L110" s="33"/>
      <c r="M110" s="44"/>
      <c r="P110" s="4"/>
    </row>
    <row r="111" spans="4:16" ht="15" customHeight="1" x14ac:dyDescent="0.2">
      <c r="D111" s="63" t="s">
        <v>233</v>
      </c>
      <c r="E111" s="14" t="s">
        <v>219</v>
      </c>
      <c r="F111" s="1" t="s">
        <v>234</v>
      </c>
      <c r="G111" s="43">
        <f t="shared" si="0"/>
        <v>0</v>
      </c>
      <c r="H111" s="13"/>
      <c r="I111" s="13"/>
      <c r="J111" s="13"/>
      <c r="K111" s="13"/>
      <c r="L111" s="33"/>
      <c r="M111" s="44"/>
      <c r="P111" s="4"/>
    </row>
    <row r="112" spans="4:16" ht="15" customHeight="1" x14ac:dyDescent="0.2">
      <c r="D112" s="63" t="s">
        <v>235</v>
      </c>
      <c r="E112" s="12" t="s">
        <v>236</v>
      </c>
      <c r="F112" s="1" t="s">
        <v>237</v>
      </c>
      <c r="G112" s="43">
        <f t="shared" si="0"/>
        <v>2.9229999999999996</v>
      </c>
      <c r="H112" s="13"/>
      <c r="I112" s="13"/>
      <c r="J112" s="13"/>
      <c r="K112" s="13">
        <f>0.235+0.296+0.269+0.19+0.176+0.216+0.203+0.25+0.239+0.282+0.304+0.263</f>
        <v>2.9229999999999996</v>
      </c>
      <c r="L112" s="33"/>
      <c r="M112" s="44"/>
      <c r="P112" s="4"/>
    </row>
    <row r="113" spans="4:16" ht="15" customHeight="1" x14ac:dyDescent="0.2">
      <c r="D113" s="63" t="s">
        <v>238</v>
      </c>
      <c r="E113" s="12" t="s">
        <v>239</v>
      </c>
      <c r="F113" s="1" t="s">
        <v>240</v>
      </c>
      <c r="G113" s="43">
        <f t="shared" si="0"/>
        <v>30.803000000000001</v>
      </c>
      <c r="H113" s="13"/>
      <c r="I113" s="13"/>
      <c r="J113" s="13"/>
      <c r="K113" s="13">
        <f>3.613+3.464+1.675+3.036+2.16+2.18+2.16+2.079+2.483+2.483+2.2+3.27</f>
        <v>30.803000000000001</v>
      </c>
      <c r="L113" s="33"/>
      <c r="M113" s="44"/>
      <c r="P113" s="4"/>
    </row>
    <row r="114" spans="4:16" ht="33.75" x14ac:dyDescent="0.2">
      <c r="D114" s="63" t="s">
        <v>241</v>
      </c>
      <c r="E114" s="12" t="s">
        <v>242</v>
      </c>
      <c r="F114" s="1" t="s">
        <v>243</v>
      </c>
      <c r="G114" s="43">
        <f t="shared" si="0"/>
        <v>0</v>
      </c>
      <c r="H114" s="13"/>
      <c r="I114" s="13"/>
      <c r="J114" s="13"/>
      <c r="K114" s="13"/>
      <c r="L114" s="33"/>
      <c r="M114" s="44"/>
      <c r="P114" s="4"/>
    </row>
    <row r="115" spans="4:16" ht="22.5" x14ac:dyDescent="0.2">
      <c r="D115" s="63" t="s">
        <v>244</v>
      </c>
      <c r="E115" s="12" t="s">
        <v>245</v>
      </c>
      <c r="F115" s="1" t="s">
        <v>246</v>
      </c>
      <c r="G115" s="43">
        <f t="shared" si="0"/>
        <v>560.25100000000009</v>
      </c>
      <c r="H115" s="13"/>
      <c r="I115" s="13"/>
      <c r="J115" s="13"/>
      <c r="K115" s="13">
        <f>49.919+47.688+49.454+50.297+49.936+37.686+31.687+30.62+46.764+47.22+55.231+63.749</f>
        <v>560.25100000000009</v>
      </c>
      <c r="L115" s="33"/>
      <c r="M115" s="44"/>
      <c r="P115" s="4"/>
    </row>
    <row r="116" spans="4:16" ht="15" customHeight="1" x14ac:dyDescent="0.2">
      <c r="D116" s="63" t="s">
        <v>247</v>
      </c>
      <c r="E116" s="5" t="s">
        <v>248</v>
      </c>
      <c r="F116" s="1" t="s">
        <v>249</v>
      </c>
      <c r="G116" s="43">
        <f t="shared" si="0"/>
        <v>3881.8460000000005</v>
      </c>
      <c r="H116" s="64">
        <f>H119</f>
        <v>0</v>
      </c>
      <c r="I116" s="64">
        <f>I119</f>
        <v>0</v>
      </c>
      <c r="J116" s="64">
        <f>J119</f>
        <v>2480.4850000000001</v>
      </c>
      <c r="K116" s="64">
        <f>K119</f>
        <v>1401.3610000000001</v>
      </c>
      <c r="L116" s="33"/>
      <c r="M116" s="44"/>
      <c r="P116" s="4">
        <v>770</v>
      </c>
    </row>
    <row r="117" spans="4:16" ht="15" customHeight="1" x14ac:dyDescent="0.2">
      <c r="D117" s="63" t="s">
        <v>250</v>
      </c>
      <c r="E117" s="11" t="s">
        <v>192</v>
      </c>
      <c r="F117" s="1" t="s">
        <v>251</v>
      </c>
      <c r="G117" s="43">
        <f t="shared" si="0"/>
        <v>0.55641666666666667</v>
      </c>
      <c r="H117" s="13"/>
      <c r="I117" s="13"/>
      <c r="J117" s="13">
        <f>(0.38+0.374+0.355+0.337+0.346+0.34+0.347+0.385+0.332+0.323+0.318+0.316)/12</f>
        <v>0.3460833333333333</v>
      </c>
      <c r="K117" s="13">
        <f>(0.248+0.234+0.21+0.234+0.195+0.193+0.2+0.224+0.192+0.196+0.193+0.205)/12</f>
        <v>0.21033333333333334</v>
      </c>
      <c r="L117" s="33"/>
      <c r="M117" s="44"/>
      <c r="P117" s="4">
        <v>780</v>
      </c>
    </row>
    <row r="118" spans="4:16" ht="15" customHeight="1" x14ac:dyDescent="0.2">
      <c r="D118" s="63" t="s">
        <v>252</v>
      </c>
      <c r="E118" s="12" t="s">
        <v>253</v>
      </c>
      <c r="F118" s="1" t="s">
        <v>254</v>
      </c>
      <c r="G118" s="43">
        <f t="shared" si="0"/>
        <v>0</v>
      </c>
      <c r="H118" s="13"/>
      <c r="I118" s="13"/>
      <c r="J118" s="13"/>
      <c r="K118" s="13"/>
      <c r="L118" s="33"/>
      <c r="M118" s="44"/>
      <c r="P118" s="4"/>
    </row>
    <row r="119" spans="4:16" ht="15" customHeight="1" x14ac:dyDescent="0.2">
      <c r="D119" s="63" t="s">
        <v>255</v>
      </c>
      <c r="E119" s="11" t="s">
        <v>198</v>
      </c>
      <c r="F119" s="1" t="s">
        <v>256</v>
      </c>
      <c r="G119" s="43">
        <f t="shared" si="0"/>
        <v>3881.8460000000005</v>
      </c>
      <c r="H119" s="13"/>
      <c r="I119" s="13"/>
      <c r="J119" s="13">
        <f>230.128+210.113+213.539+199.491+205.114+201.145+228.737+202.16+194.934+196.58+192.459+206.085</f>
        <v>2480.4850000000001</v>
      </c>
      <c r="K119" s="13">
        <f>127.469+115.255+117.25+108.223+112.5+113.384+130.007+114.069+110.941+113.964+113.515+124.784</f>
        <v>1401.3610000000001</v>
      </c>
      <c r="L119" s="33"/>
      <c r="M119" s="44"/>
      <c r="P119" s="4">
        <v>790</v>
      </c>
    </row>
    <row r="120" spans="4:16" ht="15" customHeight="1" x14ac:dyDescent="0.2">
      <c r="D120" s="63" t="s">
        <v>257</v>
      </c>
      <c r="E120" s="10" t="s">
        <v>258</v>
      </c>
      <c r="F120" s="1" t="s">
        <v>259</v>
      </c>
      <c r="G120" s="43">
        <f t="shared" si="0"/>
        <v>53574.995999999999</v>
      </c>
      <c r="H120" s="64">
        <f>SUM(H121:H122)</f>
        <v>0</v>
      </c>
      <c r="I120" s="64">
        <f>SUM(I121:I122)</f>
        <v>0</v>
      </c>
      <c r="J120" s="64">
        <f>SUM(J121:J122)</f>
        <v>53574.995999999999</v>
      </c>
      <c r="K120" s="64">
        <f>SUM(K121:K122)</f>
        <v>0</v>
      </c>
      <c r="L120" s="33"/>
      <c r="M120" s="44"/>
      <c r="P120" s="4"/>
    </row>
    <row r="121" spans="4:16" ht="15" customHeight="1" x14ac:dyDescent="0.2">
      <c r="D121" s="63" t="s">
        <v>260</v>
      </c>
      <c r="E121" s="5" t="s">
        <v>30</v>
      </c>
      <c r="F121" s="1" t="s">
        <v>261</v>
      </c>
      <c r="G121" s="43">
        <f t="shared" si="0"/>
        <v>0</v>
      </c>
      <c r="H121" s="13"/>
      <c r="I121" s="13"/>
      <c r="J121" s="13"/>
      <c r="K121" s="13"/>
      <c r="L121" s="33"/>
      <c r="M121" s="44"/>
      <c r="P121" s="4"/>
    </row>
    <row r="122" spans="4:16" ht="15" customHeight="1" x14ac:dyDescent="0.2">
      <c r="D122" s="63" t="s">
        <v>262</v>
      </c>
      <c r="E122" s="5" t="s">
        <v>189</v>
      </c>
      <c r="F122" s="1" t="s">
        <v>263</v>
      </c>
      <c r="G122" s="43">
        <f t="shared" si="0"/>
        <v>53574.995999999999</v>
      </c>
      <c r="H122" s="64">
        <f>H124</f>
        <v>0</v>
      </c>
      <c r="I122" s="64">
        <f>I124</f>
        <v>0</v>
      </c>
      <c r="J122" s="64">
        <f>J124</f>
        <v>53574.995999999999</v>
      </c>
      <c r="K122" s="64">
        <f>K124</f>
        <v>0</v>
      </c>
      <c r="L122" s="33"/>
      <c r="M122" s="44"/>
      <c r="P122" s="4"/>
    </row>
    <row r="123" spans="4:16" ht="15" customHeight="1" x14ac:dyDescent="0.2">
      <c r="D123" s="63" t="s">
        <v>264</v>
      </c>
      <c r="E123" s="11" t="s">
        <v>265</v>
      </c>
      <c r="F123" s="1" t="s">
        <v>266</v>
      </c>
      <c r="G123" s="43">
        <f t="shared" si="0"/>
        <v>0</v>
      </c>
      <c r="H123" s="13"/>
      <c r="I123" s="13"/>
      <c r="J123" s="13"/>
      <c r="K123" s="13"/>
      <c r="L123" s="33"/>
      <c r="M123" s="44"/>
      <c r="P123" s="4"/>
    </row>
    <row r="124" spans="4:16" ht="15" customHeight="1" x14ac:dyDescent="0.2">
      <c r="D124" s="63" t="s">
        <v>267</v>
      </c>
      <c r="E124" s="11" t="s">
        <v>198</v>
      </c>
      <c r="F124" s="1" t="s">
        <v>268</v>
      </c>
      <c r="G124" s="43">
        <f t="shared" si="0"/>
        <v>53574.995999999999</v>
      </c>
      <c r="H124" s="13"/>
      <c r="I124" s="13"/>
      <c r="J124" s="13">
        <f>4561.366*6+4367.8*6</f>
        <v>53574.995999999999</v>
      </c>
      <c r="K124" s="13"/>
      <c r="L124" s="33"/>
      <c r="M124" s="44"/>
      <c r="P124" s="4"/>
    </row>
    <row r="125" spans="4:16" ht="15" customHeight="1" x14ac:dyDescent="0.2">
      <c r="D125" s="18" t="s">
        <v>269</v>
      </c>
      <c r="E125" s="19"/>
      <c r="F125" s="19"/>
      <c r="G125" s="19"/>
      <c r="H125" s="19"/>
      <c r="I125" s="19"/>
      <c r="J125" s="19"/>
      <c r="K125" s="20"/>
      <c r="L125" s="33"/>
      <c r="M125" s="44"/>
      <c r="P125" s="66"/>
    </row>
    <row r="126" spans="4:16" ht="22.5" x14ac:dyDescent="0.2">
      <c r="D126" s="63" t="s">
        <v>270</v>
      </c>
      <c r="E126" s="3" t="s">
        <v>271</v>
      </c>
      <c r="F126" s="1" t="s">
        <v>272</v>
      </c>
      <c r="G126" s="43">
        <f t="shared" si="0"/>
        <v>51031.026539999999</v>
      </c>
      <c r="H126" s="64">
        <f>SUM( H127:H128)</f>
        <v>0</v>
      </c>
      <c r="I126" s="64">
        <f>SUM( I127:I128)</f>
        <v>0</v>
      </c>
      <c r="J126" s="64">
        <f>SUM( J127:J128)</f>
        <v>31987.115389999999</v>
      </c>
      <c r="K126" s="64">
        <f>SUM( K127:K128)</f>
        <v>19043.91115</v>
      </c>
      <c r="L126" s="33"/>
      <c r="M126" s="44"/>
      <c r="P126" s="4">
        <v>800</v>
      </c>
    </row>
    <row r="127" spans="4:16" ht="15" customHeight="1" x14ac:dyDescent="0.2">
      <c r="D127" s="63" t="s">
        <v>273</v>
      </c>
      <c r="E127" s="5" t="s">
        <v>30</v>
      </c>
      <c r="F127" s="1" t="s">
        <v>274</v>
      </c>
      <c r="G127" s="43">
        <f t="shared" si="0"/>
        <v>47100.625440000003</v>
      </c>
      <c r="H127" s="13"/>
      <c r="I127" s="13"/>
      <c r="J127" s="13">
        <f>3081.86995+2896.69427+2526.08242+2110.42959+1878.82629+1926.66807+1895.20076+2077.01328+2212.79974+2378.87063+2465.9226+2743.80036</f>
        <v>28194.177960000001</v>
      </c>
      <c r="K127" s="13">
        <f>1839.22249+2104.21516+1717.84703+1136.63816+975.41069+1177.66149+1246.67352+1320.07112+1777.69875+1816.92798+1892.17031+1901.91078</f>
        <v>18906.447479999999</v>
      </c>
      <c r="L127" s="33"/>
      <c r="M127" s="44"/>
      <c r="P127" s="4">
        <v>810</v>
      </c>
    </row>
    <row r="128" spans="4:16" ht="15" customHeight="1" x14ac:dyDescent="0.2">
      <c r="D128" s="63" t="s">
        <v>275</v>
      </c>
      <c r="E128" s="5" t="s">
        <v>189</v>
      </c>
      <c r="F128" s="1" t="s">
        <v>276</v>
      </c>
      <c r="G128" s="43">
        <f t="shared" si="0"/>
        <v>3930.4011</v>
      </c>
      <c r="H128" s="64">
        <f>H129+H131</f>
        <v>0</v>
      </c>
      <c r="I128" s="64">
        <f>I129+I131</f>
        <v>0</v>
      </c>
      <c r="J128" s="64">
        <f>J129+J131</f>
        <v>3792.9374299999999</v>
      </c>
      <c r="K128" s="64">
        <f>K129+K131</f>
        <v>137.46367000000001</v>
      </c>
      <c r="L128" s="33"/>
      <c r="M128" s="44"/>
      <c r="P128" s="4">
        <v>820</v>
      </c>
    </row>
    <row r="129" spans="4:16" ht="15" customHeight="1" x14ac:dyDescent="0.2">
      <c r="D129" s="63" t="s">
        <v>277</v>
      </c>
      <c r="E129" s="11" t="s">
        <v>278</v>
      </c>
      <c r="F129" s="1" t="s">
        <v>279</v>
      </c>
      <c r="G129" s="43">
        <f t="shared" si="0"/>
        <v>3299.16698</v>
      </c>
      <c r="H129" s="13"/>
      <c r="I129" s="13"/>
      <c r="J129" s="13">
        <f>670.74556+666.61777+659.90047+1.29253+286.63116+290.71582+299.75198+309.02111</f>
        <v>3184.6763999999998</v>
      </c>
      <c r="K129" s="13">
        <f>15.71191+20.39552+21.59945+0.00549+15.58253+16.0551+16.4073+8.73328</f>
        <v>114.49057999999999</v>
      </c>
      <c r="L129" s="33"/>
      <c r="M129" s="44"/>
      <c r="P129" s="4">
        <v>830</v>
      </c>
    </row>
    <row r="130" spans="4:16" ht="15" customHeight="1" x14ac:dyDescent="0.2">
      <c r="D130" s="63" t="s">
        <v>280</v>
      </c>
      <c r="E130" s="12" t="s">
        <v>281</v>
      </c>
      <c r="F130" s="1" t="s">
        <v>282</v>
      </c>
      <c r="G130" s="43">
        <f t="shared" si="0"/>
        <v>0</v>
      </c>
      <c r="H130" s="13"/>
      <c r="I130" s="13"/>
      <c r="J130" s="13"/>
      <c r="K130" s="13"/>
      <c r="L130" s="33"/>
      <c r="M130" s="44"/>
      <c r="P130" s="66"/>
    </row>
    <row r="131" spans="4:16" ht="15" customHeight="1" x14ac:dyDescent="0.2">
      <c r="D131" s="63" t="s">
        <v>283</v>
      </c>
      <c r="E131" s="11" t="s">
        <v>32</v>
      </c>
      <c r="F131" s="1" t="s">
        <v>284</v>
      </c>
      <c r="G131" s="43">
        <f t="shared" si="0"/>
        <v>631.23412000000008</v>
      </c>
      <c r="H131" s="13"/>
      <c r="I131" s="13"/>
      <c r="J131" s="13">
        <f>122.20184+94.07584+79.43168+50.99024+33.27168+10.50123+12.09262+29.0018+29.65987+41.52571+48.41807+57.09045</f>
        <v>608.26103000000012</v>
      </c>
      <c r="K131" s="13">
        <f>3.09051+3.08355+2.80736+1.83398+1.17205+0.36856+0.34508+1.18572+1.73765+2.50869+3.02484+1.8151</f>
        <v>22.973090000000003</v>
      </c>
      <c r="L131" s="33"/>
      <c r="M131" s="44"/>
      <c r="P131" s="4">
        <v>840</v>
      </c>
    </row>
    <row r="132" spans="4:16" ht="15" customHeight="1" x14ac:dyDescent="0.2">
      <c r="D132" s="63" t="s">
        <v>48</v>
      </c>
      <c r="E132" s="3" t="s">
        <v>285</v>
      </c>
      <c r="F132" s="1" t="s">
        <v>286</v>
      </c>
      <c r="G132" s="43">
        <f t="shared" si="0"/>
        <v>39155.545630000008</v>
      </c>
      <c r="H132" s="65">
        <f>SUM( H133+H138)</f>
        <v>0</v>
      </c>
      <c r="I132" s="65">
        <f>SUM( I133+I138)</f>
        <v>0</v>
      </c>
      <c r="J132" s="65">
        <f>SUM( J133+J138)</f>
        <v>8498.4097199999997</v>
      </c>
      <c r="K132" s="65">
        <f>SUM( K133+K138)</f>
        <v>30657.135910000005</v>
      </c>
      <c r="L132" s="33"/>
      <c r="M132" s="44"/>
      <c r="P132" s="4">
        <v>850</v>
      </c>
    </row>
    <row r="133" spans="4:16" ht="15" customHeight="1" x14ac:dyDescent="0.2">
      <c r="D133" s="63" t="s">
        <v>287</v>
      </c>
      <c r="E133" s="5" t="s">
        <v>30</v>
      </c>
      <c r="F133" s="1" t="s">
        <v>288</v>
      </c>
      <c r="G133" s="43">
        <f t="shared" ref="G133:G146" si="1">SUM(H133:K133)</f>
        <v>29453.022160000004</v>
      </c>
      <c r="H133" s="65">
        <f>SUM( H134:H135)</f>
        <v>0</v>
      </c>
      <c r="I133" s="65">
        <f>SUM( I134:I135)</f>
        <v>0</v>
      </c>
      <c r="J133" s="65">
        <f>SUM( J134:J135)</f>
        <v>2587.13618</v>
      </c>
      <c r="K133" s="65">
        <f>SUM( K134:K135)</f>
        <v>26865.885980000003</v>
      </c>
      <c r="L133" s="33"/>
      <c r="M133" s="44"/>
      <c r="P133" s="4">
        <v>860</v>
      </c>
    </row>
    <row r="134" spans="4:16" ht="15" customHeight="1" x14ac:dyDescent="0.2">
      <c r="D134" s="63" t="s">
        <v>289</v>
      </c>
      <c r="E134" s="11" t="s">
        <v>207</v>
      </c>
      <c r="F134" s="1" t="s">
        <v>290</v>
      </c>
      <c r="G134" s="43">
        <f t="shared" si="1"/>
        <v>7050.2412999999997</v>
      </c>
      <c r="H134" s="15"/>
      <c r="I134" s="15"/>
      <c r="J134" s="15">
        <f>204.24555+205.14132+218.06838+194.38209+192.46068+203.56956+197.15796+213.20697+214.62436+199.02277+245.88561+299.37093</f>
        <v>2587.13618</v>
      </c>
      <c r="K134" s="15">
        <f>388.12211+398.39651+354.87774+328.10214+318.52439+361.56322+369.65812+370.28189+396.78623+401.85343+400.85137+374.08797</f>
        <v>4463.1051200000002</v>
      </c>
      <c r="L134" s="33"/>
      <c r="M134" s="44"/>
      <c r="P134" s="4"/>
    </row>
    <row r="135" spans="4:16" ht="15" customHeight="1" x14ac:dyDescent="0.2">
      <c r="D135" s="63" t="s">
        <v>291</v>
      </c>
      <c r="E135" s="11" t="s">
        <v>210</v>
      </c>
      <c r="F135" s="1" t="s">
        <v>292</v>
      </c>
      <c r="G135" s="43">
        <f t="shared" si="1"/>
        <v>22402.780860000003</v>
      </c>
      <c r="H135" s="65">
        <f>H136+H137</f>
        <v>0</v>
      </c>
      <c r="I135" s="65">
        <f>I136+I137</f>
        <v>0</v>
      </c>
      <c r="J135" s="65">
        <f>J136+J137</f>
        <v>0</v>
      </c>
      <c r="K135" s="65">
        <f>K136+K137</f>
        <v>22402.780860000003</v>
      </c>
      <c r="L135" s="33"/>
      <c r="M135" s="44"/>
      <c r="P135" s="4"/>
    </row>
    <row r="136" spans="4:16" ht="15" customHeight="1" x14ac:dyDescent="0.2">
      <c r="D136" s="63" t="s">
        <v>293</v>
      </c>
      <c r="E136" s="12" t="s">
        <v>216</v>
      </c>
      <c r="F136" s="1" t="s">
        <v>294</v>
      </c>
      <c r="G136" s="43">
        <f t="shared" si="1"/>
        <v>22402.780860000003</v>
      </c>
      <c r="H136" s="15"/>
      <c r="I136" s="15"/>
      <c r="J136" s="15"/>
      <c r="K136" s="15">
        <f>2064.63321+1886.66329+1661.50802+1776.18521+1624.50416+1490.30485+1740.6318+1881.29007+1940.82435+1978.94215+2190.56605+2166.7277</f>
        <v>22402.780860000003</v>
      </c>
      <c r="L136" s="33"/>
      <c r="M136" s="44"/>
      <c r="P136" s="4"/>
    </row>
    <row r="137" spans="4:16" ht="15" customHeight="1" x14ac:dyDescent="0.2">
      <c r="D137" s="63" t="s">
        <v>295</v>
      </c>
      <c r="E137" s="12" t="s">
        <v>296</v>
      </c>
      <c r="F137" s="1" t="s">
        <v>297</v>
      </c>
      <c r="G137" s="43">
        <f t="shared" si="1"/>
        <v>0</v>
      </c>
      <c r="H137" s="15"/>
      <c r="I137" s="15"/>
      <c r="J137" s="15"/>
      <c r="K137" s="15"/>
      <c r="L137" s="33"/>
      <c r="M137" s="44"/>
      <c r="P137" s="4"/>
    </row>
    <row r="138" spans="4:16" ht="15" customHeight="1" x14ac:dyDescent="0.2">
      <c r="D138" s="63" t="s">
        <v>298</v>
      </c>
      <c r="E138" s="5" t="s">
        <v>248</v>
      </c>
      <c r="F138" s="1" t="s">
        <v>299</v>
      </c>
      <c r="G138" s="43">
        <f t="shared" si="1"/>
        <v>9702.5234700000001</v>
      </c>
      <c r="H138" s="65">
        <f>H139+H141</f>
        <v>0</v>
      </c>
      <c r="I138" s="65">
        <f>I139+I141</f>
        <v>0</v>
      </c>
      <c r="J138" s="65">
        <f>J139+J141</f>
        <v>5911.2735400000001</v>
      </c>
      <c r="K138" s="65">
        <f>K139+K141</f>
        <v>3791.2499299999999</v>
      </c>
      <c r="L138" s="33"/>
      <c r="M138" s="44"/>
      <c r="P138" s="4">
        <v>870</v>
      </c>
    </row>
    <row r="139" spans="4:16" ht="15" customHeight="1" x14ac:dyDescent="0.2">
      <c r="D139" s="63" t="s">
        <v>300</v>
      </c>
      <c r="E139" s="11" t="s">
        <v>278</v>
      </c>
      <c r="F139" s="1" t="s">
        <v>301</v>
      </c>
      <c r="G139" s="43">
        <f t="shared" si="1"/>
        <v>7998.8906100000004</v>
      </c>
      <c r="H139" s="13"/>
      <c r="I139" s="13"/>
      <c r="J139" s="13">
        <f>443.21276+436.21466+414.05403+403.55688+396.55879+404.72323+455.29671+392.6195+381.9762+376.06325+373.69808+398.53244</f>
        <v>4876.5065300000006</v>
      </c>
      <c r="K139" s="13">
        <f>302.8319+285.73656+256.43024+238.1138+235.6716+244.21928+280.78881+240.67612+245.69021+241.92964+256.9719+293.32402</f>
        <v>3122.3840799999998</v>
      </c>
      <c r="L139" s="33"/>
      <c r="M139" s="44"/>
      <c r="P139" s="4">
        <v>880</v>
      </c>
    </row>
    <row r="140" spans="4:16" ht="15" customHeight="1" x14ac:dyDescent="0.2">
      <c r="D140" s="63" t="s">
        <v>302</v>
      </c>
      <c r="E140" s="12" t="s">
        <v>281</v>
      </c>
      <c r="F140" s="1" t="s">
        <v>303</v>
      </c>
      <c r="G140" s="43">
        <f t="shared" si="1"/>
        <v>0</v>
      </c>
      <c r="H140" s="13"/>
      <c r="I140" s="13"/>
      <c r="J140" s="13"/>
      <c r="K140" s="13"/>
      <c r="L140" s="33"/>
      <c r="M140" s="44"/>
      <c r="P140" s="4"/>
    </row>
    <row r="141" spans="4:16" ht="15" customHeight="1" x14ac:dyDescent="0.2">
      <c r="D141" s="63" t="s">
        <v>304</v>
      </c>
      <c r="E141" s="11" t="s">
        <v>32</v>
      </c>
      <c r="F141" s="1" t="s">
        <v>305</v>
      </c>
      <c r="G141" s="43">
        <f t="shared" si="1"/>
        <v>1703.6328600000002</v>
      </c>
      <c r="H141" s="16"/>
      <c r="I141" s="16"/>
      <c r="J141" s="16">
        <f>93.42506+85.29957+86.69043+80.98736+83.27013+81.65884+98.06184+86.66801+83.57016+84.27581+82.5091+88.3507</f>
        <v>1034.76701</v>
      </c>
      <c r="K141" s="16">
        <f>59.16856+53.49907+54.425+50.23495+52.22025+52.63059+63.72553+55.9132+54.37995+55.86173+55.64165+61.16537</f>
        <v>668.86585000000002</v>
      </c>
      <c r="L141" s="33"/>
      <c r="M141" s="44"/>
      <c r="P141" s="4">
        <v>890</v>
      </c>
    </row>
    <row r="142" spans="4:16" ht="15" customHeight="1" x14ac:dyDescent="0.2">
      <c r="D142" s="63" t="s">
        <v>306</v>
      </c>
      <c r="E142" s="3" t="s">
        <v>307</v>
      </c>
      <c r="F142" s="1" t="s">
        <v>308</v>
      </c>
      <c r="G142" s="43">
        <f t="shared" si="1"/>
        <v>15673.34316</v>
      </c>
      <c r="H142" s="67">
        <f>SUM( H143:H144)</f>
        <v>0</v>
      </c>
      <c r="I142" s="67">
        <f>SUM( I143:I144)</f>
        <v>0</v>
      </c>
      <c r="J142" s="67">
        <f>SUM( J143:J144)</f>
        <v>15673.34316</v>
      </c>
      <c r="K142" s="67">
        <f>SUM( K143:K144)</f>
        <v>0</v>
      </c>
      <c r="L142" s="33"/>
      <c r="M142" s="44"/>
      <c r="P142" s="4">
        <v>900</v>
      </c>
    </row>
    <row r="143" spans="4:16" ht="15" customHeight="1" x14ac:dyDescent="0.2">
      <c r="D143" s="63" t="s">
        <v>309</v>
      </c>
      <c r="E143" s="5" t="s">
        <v>30</v>
      </c>
      <c r="F143" s="1" t="s">
        <v>310</v>
      </c>
      <c r="G143" s="43">
        <f t="shared" si="1"/>
        <v>0</v>
      </c>
      <c r="H143" s="16"/>
      <c r="I143" s="16"/>
      <c r="J143" s="16"/>
      <c r="K143" s="16"/>
      <c r="L143" s="33"/>
      <c r="M143" s="44"/>
      <c r="P143" s="4"/>
    </row>
    <row r="144" spans="4:16" ht="15" customHeight="1" x14ac:dyDescent="0.2">
      <c r="D144" s="63" t="s">
        <v>311</v>
      </c>
      <c r="E144" s="5" t="s">
        <v>189</v>
      </c>
      <c r="F144" s="1" t="s">
        <v>312</v>
      </c>
      <c r="G144" s="43">
        <f t="shared" si="1"/>
        <v>15673.34316</v>
      </c>
      <c r="H144" s="67">
        <f>H145+H146</f>
        <v>0</v>
      </c>
      <c r="I144" s="67">
        <f>I145+I146</f>
        <v>0</v>
      </c>
      <c r="J144" s="67">
        <f>J145+J146</f>
        <v>15673.34316</v>
      </c>
      <c r="K144" s="67">
        <f>K145+K146</f>
        <v>0</v>
      </c>
      <c r="L144" s="33"/>
      <c r="M144" s="44"/>
      <c r="P144" s="4"/>
    </row>
    <row r="145" spans="4:17" ht="15" customHeight="1" x14ac:dyDescent="0.2">
      <c r="D145" s="63" t="s">
        <v>313</v>
      </c>
      <c r="E145" s="11" t="s">
        <v>31</v>
      </c>
      <c r="F145" s="1" t="s">
        <v>314</v>
      </c>
      <c r="G145" s="43">
        <f t="shared" si="1"/>
        <v>0</v>
      </c>
      <c r="H145" s="16"/>
      <c r="I145" s="16"/>
      <c r="J145" s="16"/>
      <c r="K145" s="16"/>
      <c r="L145" s="33"/>
      <c r="M145" s="44"/>
      <c r="P145" s="4" t="s">
        <v>315</v>
      </c>
    </row>
    <row r="146" spans="4:17" ht="15" customHeight="1" x14ac:dyDescent="0.2">
      <c r="D146" s="63" t="s">
        <v>316</v>
      </c>
      <c r="E146" s="11" t="s">
        <v>32</v>
      </c>
      <c r="F146" s="1" t="s">
        <v>317</v>
      </c>
      <c r="G146" s="43">
        <f t="shared" si="1"/>
        <v>15673.34316</v>
      </c>
      <c r="H146" s="16"/>
      <c r="I146" s="16"/>
      <c r="J146" s="16">
        <f>1275.46741*6+1336.75645*6</f>
        <v>15673.34316</v>
      </c>
      <c r="K146" s="17"/>
      <c r="L146" s="33"/>
      <c r="M146" s="44"/>
      <c r="P146" s="4" t="s">
        <v>318</v>
      </c>
    </row>
    <row r="147" spans="4:17" x14ac:dyDescent="0.25">
      <c r="D147" s="29"/>
      <c r="E147" s="68"/>
      <c r="F147" s="68"/>
      <c r="G147" s="68"/>
      <c r="H147" s="68"/>
      <c r="I147" s="68"/>
      <c r="J147" s="68"/>
      <c r="K147" s="69"/>
      <c r="L147" s="69"/>
      <c r="M147" s="69"/>
      <c r="N147" s="69"/>
      <c r="O147" s="69"/>
      <c r="P147" s="69"/>
      <c r="Q147" s="69"/>
    </row>
    <row r="148" spans="4:17" ht="12.75" x14ac:dyDescent="0.2">
      <c r="E148" s="44" t="s">
        <v>319</v>
      </c>
      <c r="F148" s="70" t="str">
        <f>IF([3]Титульный!G45="","",[3]Титульный!G45)</f>
        <v>Экономист</v>
      </c>
      <c r="G148" s="70"/>
      <c r="H148" s="71"/>
      <c r="I148" s="70" t="str">
        <f>IF([3]Титульный!G44="","",[3]Титульный!G44)</f>
        <v>Бреховских Ирина Викторовна</v>
      </c>
      <c r="J148" s="70"/>
      <c r="K148" s="70"/>
      <c r="L148" s="71"/>
      <c r="M148" s="72"/>
      <c r="N148" s="72"/>
      <c r="O148" s="44"/>
      <c r="P148" s="69"/>
      <c r="Q148" s="69"/>
    </row>
    <row r="149" spans="4:17" ht="12.75" x14ac:dyDescent="0.2">
      <c r="E149" s="73" t="s">
        <v>320</v>
      </c>
      <c r="F149" s="74" t="s">
        <v>35</v>
      </c>
      <c r="G149" s="74"/>
      <c r="H149" s="44"/>
      <c r="I149" s="74" t="s">
        <v>33</v>
      </c>
      <c r="J149" s="74"/>
      <c r="K149" s="74"/>
      <c r="L149" s="44"/>
      <c r="M149" s="74" t="s">
        <v>34</v>
      </c>
      <c r="N149" s="74"/>
      <c r="O149" s="44"/>
      <c r="P149" s="69"/>
      <c r="Q149" s="69"/>
    </row>
    <row r="150" spans="4:17" ht="12.75" x14ac:dyDescent="0.2">
      <c r="E150" s="73" t="s">
        <v>321</v>
      </c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69"/>
      <c r="Q150" s="69"/>
    </row>
    <row r="151" spans="4:17" ht="12.75" x14ac:dyDescent="0.2">
      <c r="E151" s="73" t="s">
        <v>322</v>
      </c>
      <c r="F151" s="70" t="str">
        <f>IF([3]Титульный!G46="","",[3]Титульный!G46)</f>
        <v>8(81850)3-32-51</v>
      </c>
      <c r="G151" s="70"/>
      <c r="H151" s="70"/>
      <c r="I151" s="44"/>
      <c r="J151" s="73" t="s">
        <v>36</v>
      </c>
      <c r="K151" s="71"/>
      <c r="L151" s="44"/>
      <c r="M151" s="44"/>
      <c r="N151" s="44"/>
      <c r="O151" s="44"/>
      <c r="P151" s="69"/>
      <c r="Q151" s="69"/>
    </row>
    <row r="152" spans="4:17" ht="12.75" x14ac:dyDescent="0.2">
      <c r="E152" s="44" t="s">
        <v>323</v>
      </c>
      <c r="F152" s="75" t="s">
        <v>37</v>
      </c>
      <c r="G152" s="75"/>
      <c r="H152" s="75"/>
      <c r="I152" s="44"/>
      <c r="J152" s="76" t="s">
        <v>38</v>
      </c>
      <c r="K152" s="76"/>
      <c r="L152" s="44"/>
      <c r="M152" s="44"/>
      <c r="N152" s="44"/>
      <c r="O152" s="44"/>
      <c r="P152" s="69"/>
      <c r="Q152" s="69"/>
    </row>
    <row r="153" spans="4:17" x14ac:dyDescent="0.25"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</row>
    <row r="154" spans="4:17" x14ac:dyDescent="0.25"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</row>
    <row r="155" spans="4:17" x14ac:dyDescent="0.25"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69"/>
    </row>
    <row r="156" spans="4:17" x14ac:dyDescent="0.25"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</row>
    <row r="157" spans="4:17" x14ac:dyDescent="0.25"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  <c r="Q157" s="69"/>
    </row>
    <row r="158" spans="4:17" x14ac:dyDescent="0.25"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</row>
    <row r="159" spans="4:17" x14ac:dyDescent="0.25"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</row>
    <row r="160" spans="4:17" x14ac:dyDescent="0.25"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</row>
    <row r="161" spans="5:17" x14ac:dyDescent="0.25"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</row>
    <row r="162" spans="5:17" x14ac:dyDescent="0.25"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</row>
    <row r="163" spans="5:17" x14ac:dyDescent="0.25"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</row>
    <row r="164" spans="5:17" x14ac:dyDescent="0.25"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</row>
    <row r="165" spans="5:17" x14ac:dyDescent="0.25"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  <c r="Q165" s="69"/>
    </row>
    <row r="166" spans="5:17" x14ac:dyDescent="0.25"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</row>
    <row r="167" spans="5:17" x14ac:dyDescent="0.25"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</row>
    <row r="168" spans="5:17" x14ac:dyDescent="0.25"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69"/>
      <c r="Q168" s="69"/>
    </row>
    <row r="169" spans="5:17" x14ac:dyDescent="0.25"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</row>
    <row r="170" spans="5:17" x14ac:dyDescent="0.25"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</row>
    <row r="171" spans="5:17" x14ac:dyDescent="0.25"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69"/>
    </row>
    <row r="172" spans="5:17" x14ac:dyDescent="0.25"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</row>
    <row r="173" spans="5:17" x14ac:dyDescent="0.25"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</row>
    <row r="174" spans="5:17" x14ac:dyDescent="0.25"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</row>
    <row r="175" spans="5:17" x14ac:dyDescent="0.25"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</row>
    <row r="176" spans="5:17" x14ac:dyDescent="0.25"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</row>
    <row r="177" spans="5:17" x14ac:dyDescent="0.25"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</row>
  </sheetData>
  <mergeCells count="18">
    <mergeCell ref="D125:K125"/>
    <mergeCell ref="F149:G149"/>
    <mergeCell ref="I149:K149"/>
    <mergeCell ref="M149:N149"/>
    <mergeCell ref="F152:H152"/>
    <mergeCell ref="F148:G148"/>
    <mergeCell ref="I148:K148"/>
    <mergeCell ref="F151:H151"/>
    <mergeCell ref="D8:E8"/>
    <mergeCell ref="D11:D12"/>
    <mergeCell ref="E11:E12"/>
    <mergeCell ref="F11:F12"/>
    <mergeCell ref="G11:G12"/>
    <mergeCell ref="H11:K11"/>
    <mergeCell ref="D14:K14"/>
    <mergeCell ref="D52:K52"/>
    <mergeCell ref="D88:K88"/>
    <mergeCell ref="D92:K92"/>
  </mergeCells>
  <dataValidations count="2">
    <dataValidation allowBlank="1" showInputMessage="1" promptTitle="Ввод" prompt="Для выбора организации необходимо два раза нажать левую клавишу мыши!" sqref="E41 E19" xr:uid="{D08FC3CF-136E-4AE5-A401-6C3A4611FD22}"/>
    <dataValidation type="decimal" allowBlank="1" showErrorMessage="1" errorTitle="Ошибка" error="Допускается ввод только действительных чисел!" sqref="G24:K25 G89:K91 G27:K41 G53:K56 G61:K62 G79:K87 G21:K22 G64:K77 G43:K51 G93:K124 G126:K146 G58:K59 G15:K19" xr:uid="{512A0252-5F91-4806-A23A-7F58F345BCE8}">
      <formula1>-9.99999999999999E+23</formula1>
      <formula2>9.99999999999999E+23</formula2>
    </dataValidation>
  </dataValidations>
  <pageMargins left="0.31496062992125984" right="0.31496062992125984" top="0.35433070866141736" bottom="0.35433070866141736" header="0.11811023622047245" footer="0.11811023622047245"/>
  <pageSetup paperSize="9" scale="55" orientation="portrait" horizontalDpi="0" verticalDpi="0" r:id="rId1"/>
  <colBreaks count="1" manualBreakCount="1">
    <brk id="11" max="1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отпуск в сеть и факт. потери</vt:lpstr>
      <vt:lpstr>'отпуск в сеть и факт. потери'!Область_печати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2021-10-19T06:36:00Z</dcterms:modified>
</cp:coreProperties>
</file>