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D707E235-5335-46B1-9DF8-8E14D13DA8F5}" xr6:coauthVersionLast="47" xr6:coauthVersionMax="47" xr10:uidLastSave="{00000000-0000-0000-0000-000000000000}"/>
  <bookViews>
    <workbookView xWindow="-120" yWindow="-120" windowWidth="25440" windowHeight="15390" tabRatio="918" xr2:uid="{00000000-000D-0000-FFFF-FFFF00000000}"/>
  </bookViews>
  <sheets>
    <sheet name="отпуск в сеть и факт. потери" sheetId="6" r:id="rId1"/>
  </sheets>
  <externalReferences>
    <externalReference r:id="rId2"/>
    <externalReference r:id="rId3"/>
    <externalReference r:id="rId4"/>
  </externalReferences>
  <definedNames>
    <definedName name="_COB038">'[1]Таблица3 (267)'!$F$13</definedName>
    <definedName name="_COB10">'[1]Таблица3 (267)'!$F$10</definedName>
    <definedName name="_COB110">'[1]Таблица3 (267)'!$F$8</definedName>
    <definedName name="_COB3">'[1]Таблица3 (267)'!$F$12</definedName>
    <definedName name="_COB35">'[1]Таблица3 (267)'!$F$9</definedName>
    <definedName name="_COB6">'[1]Таблица3 (267)'!$F$11</definedName>
    <definedName name="_IKL10">'[1]Таблица3 (267)'!$J$10</definedName>
    <definedName name="_IKL110">'[1]Таблица3 (267)'!$J$8</definedName>
    <definedName name="_IKL3">'[1]Таблица3 (267)'!$J$12</definedName>
    <definedName name="_IKL35">'[1]Таблица3 (267)'!$J$9</definedName>
    <definedName name="_IKL6">'[1]Таблица3 (267)'!$J$11</definedName>
    <definedName name="_LEP038">'[1]Таблица3 (267)'!$B$13</definedName>
    <definedName name="_LEP10">'[1]Таблица3 (267)'!$B$10</definedName>
    <definedName name="_LEP110">'[1]Таблица3 (267)'!$B$8</definedName>
    <definedName name="_LEP3">'[1]Таблица3 (267)'!$B$12</definedName>
    <definedName name="_LEP35">'[1]Таблица3 (267)'!$B$9</definedName>
    <definedName name="_LEP6">'[1]Таблица3 (267)'!$B$11</definedName>
    <definedName name="_OPN10">'[1]Таблица3 (267)'!$P$10</definedName>
    <definedName name="_OPN110">'[1]Таблица3 (267)'!$P$8</definedName>
    <definedName name="_OPN3">'[1]Таблица3 (267)'!$P$12</definedName>
    <definedName name="_OPN35">'[1]Таблица3 (267)'!$P$9</definedName>
    <definedName name="_OPN6">'[1]Таблица3 (267)'!$P$11</definedName>
    <definedName name="_RV10">'[1]Таблица3 (267)'!$O$10</definedName>
    <definedName name="_RV110">'[1]Таблица3 (267)'!$O$8</definedName>
    <definedName name="_RV3">'[1]Таблица3 (267)'!$O$12</definedName>
    <definedName name="_RV35">'[1]Таблица3 (267)'!$O$9</definedName>
    <definedName name="_RV6">'[1]Таблица3 (267)'!$O$11</definedName>
    <definedName name="_TH10">'[1]Таблица3 (267)'!$L$10</definedName>
    <definedName name="_TH110">'[1]Таблица3 (267)'!$L$8</definedName>
    <definedName name="_TH3">'[1]Таблица3 (267)'!$L$12</definedName>
    <definedName name="_TH35">'[1]Таблица3 (267)'!$L$9</definedName>
    <definedName name="_TH6">'[1]Таблица3 (267)'!$L$11</definedName>
    <definedName name="_TKZ10">'[1]Таблица3 (267)'!$D$10</definedName>
    <definedName name="_TKZ110">'[1]Таблица3 (267)'!$D$8</definedName>
    <definedName name="_TKZ3">'[1]Таблица3 (267)'!$D$12</definedName>
    <definedName name="_TKZ35">'[1]Таблица3 (267)'!$D$9</definedName>
    <definedName name="_TKZ6">'[1]Таблица3 (267)'!$D$11</definedName>
    <definedName name="_TT038">'[1]Таблица3 (267)'!$K$13</definedName>
    <definedName name="_TT10">'[1]Таблица3 (267)'!$K$10</definedName>
    <definedName name="_TT110">'[1]Таблица3 (267)'!$K$8</definedName>
    <definedName name="_TT3">'[1]Таблица3 (267)'!$K$12</definedName>
    <definedName name="_TT35">'[1]Таблица3 (267)'!$K$9</definedName>
    <definedName name="_TT6">'[1]Таблица3 (267)'!$K$11</definedName>
    <definedName name="_TXX10">'[1]Таблица3 (267)'!$E$10</definedName>
    <definedName name="_TXX110">'[1]Таблица3 (267)'!$E$8</definedName>
    <definedName name="_TXX3">'[1]Таблица3 (267)'!$E$12</definedName>
    <definedName name="_TXX35">'[1]Таблица3 (267)'!$E$9</definedName>
    <definedName name="_TXX6">'[1]Таблица3 (267)'!$E$11</definedName>
    <definedName name="CHET038">'[1]Таблица3 (267)'!$M$13</definedName>
    <definedName name="CKBK10">'[1]Таблица3 (267)'!$G$10</definedName>
    <definedName name="CKBK110">'[1]Таблица3 (267)'!$G$8</definedName>
    <definedName name="CKBK3">'[1]Таблица3 (267)'!$G$12</definedName>
    <definedName name="CKBK35">'[1]Таблица3 (267)'!$G$9</definedName>
    <definedName name="CKBK6">'[1]Таблица3 (267)'!$G$11</definedName>
    <definedName name="CPPC10">'[1]Таблица3 (267)'!$N$10</definedName>
    <definedName name="CPPC110">'[1]Таблица3 (267)'!$N$8</definedName>
    <definedName name="CPPC3">'[1]Таблица3 (267)'!$N$12</definedName>
    <definedName name="CPPC35">'[1]Таблица3 (267)'!$N$9</definedName>
    <definedName name="CPPC6">'[1]Таблица3 (267)'!$N$11</definedName>
    <definedName name="DPPU038">[1]ДОПУСТИМАЯ_ПОГРЕШНОСТЬ!$M$7</definedName>
    <definedName name="DPPU10">[1]ДОПУСТИМАЯ_ПОГРЕШНОСТЬ!$M$4</definedName>
    <definedName name="DPPU110">[1]ДОПУСТИМАЯ_ПОГРЕШНОСТЬ!$M$1</definedName>
    <definedName name="DPPU3">[1]ДОПУСТИМАЯ_ПОГРЕШНОСТЬ!$M$6</definedName>
    <definedName name="DPPU35">[1]ДОПУСТИМАЯ_ПОГРЕШНОСТЬ!$M$2</definedName>
    <definedName name="DPPU6">[1]ДОПУСТИМАЯ_ПОГРЕШНОСТЬ!$M$5</definedName>
    <definedName name="DPPUCHII">[1]ДОПУСТИМАЯ_ПОГРЕШНОСТЬ!$M$3</definedName>
    <definedName name="IZOL10">'[1]Таблица3 (267)'!$I$10</definedName>
    <definedName name="IZOL110">'[1]Таблица3 (267)'!$I$8</definedName>
    <definedName name="IZOL3">'[1]Таблица3 (267)'!$I$12</definedName>
    <definedName name="IZOL35">'[1]Таблица3 (267)'!$I$9</definedName>
    <definedName name="IZOL6">'[1]Таблица3 (267)'!$I$11</definedName>
    <definedName name="koef1">[1]Сводка!$I$15</definedName>
    <definedName name="koef2">[1]Сводка!$H$15</definedName>
    <definedName name="koef3">[1]Сводка!$G$15</definedName>
    <definedName name="koef4">[1]Сводка!$F$15</definedName>
    <definedName name="Kсумм">[1]Сводка!$C$19</definedName>
    <definedName name="org">[2]НЭСК!$G$18</definedName>
    <definedName name="REAK10">'[1]Таблица3 (267)'!$H$10</definedName>
    <definedName name="REAK110">'[1]Таблица3 (267)'!$H$8</definedName>
    <definedName name="REAK3">'[1]Таблица3 (267)'!$H$12</definedName>
    <definedName name="REAK35">'[1]Таблица3 (267)'!$H$9</definedName>
    <definedName name="REAK6">'[1]Таблица3 (267)'!$H$11</definedName>
    <definedName name="UPVC10">'[1]Таблица3 (267)'!$Q$10</definedName>
    <definedName name="UPVC110">'[1]Таблица3 (267)'!$Q$8</definedName>
    <definedName name="UPVC3">'[1]Таблица3 (267)'!$Q$12</definedName>
    <definedName name="UPVC35">'[1]Таблица3 (267)'!$Q$9</definedName>
    <definedName name="UPVC6">'[1]Таблица3 (267)'!$Q$11</definedName>
    <definedName name="ВНбаз">'[1]Потери по уровню напряжения'!$B$5</definedName>
    <definedName name="ВНрег">'[1]Потери по уровню напряжения'!$F$5</definedName>
    <definedName name="допустимаяпогрешность">'[1]Определение погрешности'!$C$5</definedName>
    <definedName name="ДПбазВН">'[1]Структура потерь'!$D$24</definedName>
    <definedName name="ДПбазНН">'[1]Структура потерь'!$D$70</definedName>
    <definedName name="ДПбазСНI">'[1]Структура потерь'!$D$43</definedName>
    <definedName name="ДПбазСНII">'[1]Структура потерь'!$D$62</definedName>
    <definedName name="ДПрегВН">'[1]Структура потерь'!$G$24</definedName>
    <definedName name="ДПрегНН">'[1]Структура потерь'!$G$70</definedName>
    <definedName name="ДПрегСНI">'[1]Структура потерь'!$G$43</definedName>
    <definedName name="ДПрегСНII">'[1]Структура потерь'!$G$62</definedName>
    <definedName name="коэф">[1]Поступление!$E$1</definedName>
    <definedName name="ННбаз">'[1]Потери по уровню напряжения'!$B$17</definedName>
    <definedName name="ННрег">'[1]Потери по уровню напряжения'!$F$17</definedName>
    <definedName name="НПбазВН">'[1]Структура потерь'!$D$21</definedName>
    <definedName name="НПбазНН">'[1]Структура потерь'!$D$69</definedName>
    <definedName name="НПбазСНI">'[1]Структура потерь'!$D$40</definedName>
    <definedName name="НПбазСНII">'[1]Структура потерь'!$D$59</definedName>
    <definedName name="НПрегВН">'[1]Структура потерь'!$G$21</definedName>
    <definedName name="НПрегНН">'[1]Структура потерь'!$G$69</definedName>
    <definedName name="НПрегСНI">'[1]Структура потерь'!$G$40</definedName>
    <definedName name="НПрегСНII">'[1]Структура потерь'!$G$59</definedName>
    <definedName name="_xlnm.Print_Area" localSheetId="0">'отпуск в сеть и факт. потери'!$A$1:$K$152</definedName>
    <definedName name="ПОКУПКАбаз">'[1]Потери по уровню напряжения'!$B$21</definedName>
    <definedName name="ПОКУПКАрег">'[1]Потери по уровню напряжения'!$F$21</definedName>
    <definedName name="потерибаз">'[1]Структура потерь'!$D$72</definedName>
    <definedName name="потерирег">'[1]Структура потерь'!$G$72</definedName>
    <definedName name="СНIIбаз">'[1]Потери по уровню напряжения'!$B$13</definedName>
    <definedName name="СНIIрег">'[1]Потери по уровню напряжения'!$F$13</definedName>
    <definedName name="СНIбаз">'[1]Потери по уровню напряжения'!$B$9</definedName>
    <definedName name="СНIрег">'[1]Потери по уровню напряжения'!$F$9</definedName>
    <definedName name="ТехПотериБазВН">'[1]Структура потерь'!$D$25</definedName>
    <definedName name="ТехПотериБазНН">'[1]Структура потерь'!$D$71</definedName>
    <definedName name="ТехПотериБазСНI">'[1]Структура потерь'!$D$44</definedName>
    <definedName name="ТехПотериБазСНII">'[1]Структура потерь'!$D$63</definedName>
    <definedName name="ТехПотериРегВН">'[1]Структура потерь'!$G$25</definedName>
    <definedName name="ТехПотериРегНН">'[1]Структура потерь'!$G$71</definedName>
    <definedName name="ТехПотериРегСНI">'[1]Структура потерь'!$G$44</definedName>
    <definedName name="ТехПотериРегСНII">'[1]Структура потерь'!$G$63</definedName>
    <definedName name="УПбазВН">'[1]Структура потерь'!$D$8</definedName>
    <definedName name="УПбазНН">'[1]Структура потерь'!$D$65</definedName>
    <definedName name="УПбазСНI">'[1]Структура потерь'!$D$27</definedName>
    <definedName name="УПбазСНII">'[1]Структура потерь'!$D$46</definedName>
    <definedName name="УПрегВН">'[1]Структура потерь'!$G$8</definedName>
    <definedName name="УПрегНН">'[1]Структура потерь'!$G$65</definedName>
    <definedName name="УПрегСНI">'[1]Структура потерь'!$G$27</definedName>
    <definedName name="УПрегСНII">'[1]Структура потерь'!$G$46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6" l="1"/>
  <c r="G145" i="6"/>
  <c r="K144" i="6"/>
  <c r="J144" i="6"/>
  <c r="J142" i="6" s="1"/>
  <c r="I144" i="6"/>
  <c r="H144" i="6"/>
  <c r="G143" i="6"/>
  <c r="K142" i="6"/>
  <c r="I142" i="6"/>
  <c r="H142" i="6"/>
  <c r="K141" i="6"/>
  <c r="J141" i="6"/>
  <c r="G141" i="6"/>
  <c r="G140" i="6"/>
  <c r="K139" i="6"/>
  <c r="K138" i="6" s="1"/>
  <c r="J139" i="6"/>
  <c r="G139" i="6"/>
  <c r="J138" i="6"/>
  <c r="I138" i="6"/>
  <c r="H138" i="6"/>
  <c r="G138" i="6" s="1"/>
  <c r="G137" i="6"/>
  <c r="K136" i="6"/>
  <c r="K135" i="6" s="1"/>
  <c r="G136" i="6"/>
  <c r="J135" i="6"/>
  <c r="I135" i="6"/>
  <c r="H135" i="6"/>
  <c r="K134" i="6"/>
  <c r="K133" i="6" s="1"/>
  <c r="K132" i="6" s="1"/>
  <c r="J134" i="6"/>
  <c r="G134" i="6"/>
  <c r="J133" i="6"/>
  <c r="J132" i="6" s="1"/>
  <c r="I133" i="6"/>
  <c r="H133" i="6"/>
  <c r="G133" i="6" s="1"/>
  <c r="I132" i="6"/>
  <c r="K131" i="6"/>
  <c r="J131" i="6"/>
  <c r="G131" i="6" s="1"/>
  <c r="G130" i="6"/>
  <c r="K129" i="6"/>
  <c r="J129" i="6"/>
  <c r="G129" i="6" s="1"/>
  <c r="K128" i="6"/>
  <c r="I128" i="6"/>
  <c r="H128" i="6"/>
  <c r="K127" i="6"/>
  <c r="J127" i="6"/>
  <c r="G127" i="6" s="1"/>
  <c r="K126" i="6"/>
  <c r="I126" i="6"/>
  <c r="H126" i="6"/>
  <c r="J124" i="6"/>
  <c r="G124" i="6" s="1"/>
  <c r="G123" i="6"/>
  <c r="K122" i="6"/>
  <c r="K120" i="6" s="1"/>
  <c r="J122" i="6"/>
  <c r="I122" i="6"/>
  <c r="H122" i="6"/>
  <c r="G122" i="6"/>
  <c r="G121" i="6"/>
  <c r="J120" i="6"/>
  <c r="I120" i="6"/>
  <c r="H120" i="6"/>
  <c r="K119" i="6"/>
  <c r="J119" i="6"/>
  <c r="G119" i="6" s="1"/>
  <c r="G118" i="6"/>
  <c r="K117" i="6"/>
  <c r="J117" i="6"/>
  <c r="G117" i="6" s="1"/>
  <c r="K116" i="6"/>
  <c r="I116" i="6"/>
  <c r="H116" i="6"/>
  <c r="K115" i="6"/>
  <c r="G115" i="6"/>
  <c r="G114" i="6"/>
  <c r="K113" i="6"/>
  <c r="G113" i="6" s="1"/>
  <c r="K112" i="6"/>
  <c r="G112" i="6" s="1"/>
  <c r="G111" i="6"/>
  <c r="G110" i="6"/>
  <c r="K109" i="6"/>
  <c r="J109" i="6"/>
  <c r="I109" i="6"/>
  <c r="H109" i="6"/>
  <c r="G109" i="6"/>
  <c r="G108" i="6"/>
  <c r="K107" i="6"/>
  <c r="G107" i="6" s="1"/>
  <c r="K106" i="6"/>
  <c r="G106" i="6" s="1"/>
  <c r="J106" i="6"/>
  <c r="I106" i="6"/>
  <c r="H106" i="6"/>
  <c r="G105" i="6"/>
  <c r="K104" i="6"/>
  <c r="G104" i="6" s="1"/>
  <c r="K103" i="6"/>
  <c r="K102" i="6" s="1"/>
  <c r="J103" i="6"/>
  <c r="I103" i="6"/>
  <c r="I102" i="6" s="1"/>
  <c r="I100" i="6" s="1"/>
  <c r="I99" i="6" s="1"/>
  <c r="H103" i="6"/>
  <c r="G103" i="6"/>
  <c r="J102" i="6"/>
  <c r="H102" i="6"/>
  <c r="K101" i="6"/>
  <c r="J101" i="6"/>
  <c r="G101" i="6"/>
  <c r="J100" i="6"/>
  <c r="K98" i="6"/>
  <c r="J98" i="6"/>
  <c r="G98" i="6" s="1"/>
  <c r="G97" i="6"/>
  <c r="K96" i="6"/>
  <c r="J96" i="6"/>
  <c r="G96" i="6" s="1"/>
  <c r="K95" i="6"/>
  <c r="I95" i="6"/>
  <c r="H95" i="6"/>
  <c r="K94" i="6"/>
  <c r="J94" i="6"/>
  <c r="G94" i="6" s="1"/>
  <c r="K93" i="6"/>
  <c r="I93" i="6"/>
  <c r="H93" i="6"/>
  <c r="G91" i="6"/>
  <c r="G90" i="6"/>
  <c r="J89" i="6"/>
  <c r="G89" i="6"/>
  <c r="K86" i="6"/>
  <c r="J86" i="6"/>
  <c r="I86" i="6"/>
  <c r="G86" i="6" s="1"/>
  <c r="H86" i="6"/>
  <c r="G85" i="6"/>
  <c r="G84" i="6"/>
  <c r="G83" i="6"/>
  <c r="G82" i="6"/>
  <c r="G81" i="6"/>
  <c r="G80" i="6"/>
  <c r="G79" i="6"/>
  <c r="K76" i="6"/>
  <c r="J76" i="6"/>
  <c r="I76" i="6"/>
  <c r="G76" i="6" s="1"/>
  <c r="H76" i="6"/>
  <c r="G75" i="6"/>
  <c r="G74" i="6"/>
  <c r="G73" i="6"/>
  <c r="G72" i="6"/>
  <c r="G71" i="6"/>
  <c r="K70" i="6"/>
  <c r="J70" i="6"/>
  <c r="H70" i="6"/>
  <c r="G69" i="6"/>
  <c r="G68" i="6"/>
  <c r="G67" i="6"/>
  <c r="G66" i="6"/>
  <c r="G65" i="6"/>
  <c r="K64" i="6"/>
  <c r="J64" i="6"/>
  <c r="I64" i="6"/>
  <c r="G64" i="6" s="1"/>
  <c r="H64" i="6"/>
  <c r="K61" i="6"/>
  <c r="J61" i="6"/>
  <c r="I61" i="6"/>
  <c r="H61" i="6"/>
  <c r="G61" i="6" s="1"/>
  <c r="K58" i="6"/>
  <c r="G58" i="6" s="1"/>
  <c r="J58" i="6"/>
  <c r="I58" i="6"/>
  <c r="H58" i="6"/>
  <c r="K55" i="6"/>
  <c r="J55" i="6"/>
  <c r="I55" i="6"/>
  <c r="H55" i="6"/>
  <c r="G55" i="6" s="1"/>
  <c r="G54" i="6"/>
  <c r="J53" i="6"/>
  <c r="J87" i="6" s="1"/>
  <c r="I53" i="6"/>
  <c r="I50" i="6"/>
  <c r="H50" i="6"/>
  <c r="J49" i="6"/>
  <c r="G49" i="6"/>
  <c r="G48" i="6"/>
  <c r="K47" i="6"/>
  <c r="K50" i="6" s="1"/>
  <c r="J47" i="6"/>
  <c r="J50" i="6" s="1"/>
  <c r="G47" i="6"/>
  <c r="G46" i="6"/>
  <c r="G45" i="6"/>
  <c r="G44" i="6"/>
  <c r="K43" i="6"/>
  <c r="G43" i="6" s="1"/>
  <c r="J41" i="6"/>
  <c r="G41" i="6"/>
  <c r="K39" i="6"/>
  <c r="J39" i="6"/>
  <c r="I39" i="6"/>
  <c r="H39" i="6"/>
  <c r="H33" i="6" s="1"/>
  <c r="G39" i="6"/>
  <c r="G38" i="6"/>
  <c r="G37" i="6"/>
  <c r="K36" i="6"/>
  <c r="J36" i="6"/>
  <c r="G36" i="6" s="1"/>
  <c r="G35" i="6"/>
  <c r="K34" i="6"/>
  <c r="K33" i="6" s="1"/>
  <c r="J34" i="6"/>
  <c r="G34" i="6" s="1"/>
  <c r="I33" i="6"/>
  <c r="G32" i="6"/>
  <c r="G31" i="6"/>
  <c r="G30" i="6"/>
  <c r="G29" i="6"/>
  <c r="G28" i="6"/>
  <c r="K27" i="6"/>
  <c r="G27" i="6" s="1"/>
  <c r="J27" i="6"/>
  <c r="I27" i="6"/>
  <c r="H27" i="6"/>
  <c r="K24" i="6"/>
  <c r="J24" i="6"/>
  <c r="I24" i="6"/>
  <c r="H24" i="6"/>
  <c r="G24" i="6" s="1"/>
  <c r="K21" i="6"/>
  <c r="J21" i="6"/>
  <c r="I21" i="6"/>
  <c r="H21" i="6"/>
  <c r="G21" i="6" s="1"/>
  <c r="J19" i="6"/>
  <c r="J17" i="6" s="1"/>
  <c r="J15" i="6" s="1"/>
  <c r="G19" i="6"/>
  <c r="K17" i="6"/>
  <c r="I17" i="6"/>
  <c r="I15" i="6" s="1"/>
  <c r="I51" i="6" s="1"/>
  <c r="H17" i="6"/>
  <c r="G17" i="6" s="1"/>
  <c r="J16" i="6"/>
  <c r="G16" i="6"/>
  <c r="K15" i="6"/>
  <c r="K51" i="6" s="1"/>
  <c r="G135" i="6" l="1"/>
  <c r="G142" i="6"/>
  <c r="G128" i="6"/>
  <c r="J128" i="6"/>
  <c r="J126" i="6" s="1"/>
  <c r="G126" i="6" s="1"/>
  <c r="G144" i="6"/>
  <c r="H132" i="6"/>
  <c r="G132" i="6" s="1"/>
  <c r="K100" i="6"/>
  <c r="K99" i="6" s="1"/>
  <c r="G120" i="6"/>
  <c r="G102" i="6"/>
  <c r="G95" i="6"/>
  <c r="J93" i="6"/>
  <c r="G93" i="6" s="1"/>
  <c r="J95" i="6"/>
  <c r="J116" i="6"/>
  <c r="J99" i="6" s="1"/>
  <c r="H100" i="6"/>
  <c r="K53" i="6"/>
  <c r="K87" i="6" s="1"/>
  <c r="H53" i="6"/>
  <c r="I70" i="6"/>
  <c r="G70" i="6" s="1"/>
  <c r="G50" i="6"/>
  <c r="J51" i="6"/>
  <c r="H15" i="6"/>
  <c r="J33" i="6"/>
  <c r="G33" i="6" s="1"/>
  <c r="G116" i="6" l="1"/>
  <c r="G100" i="6"/>
  <c r="H99" i="6"/>
  <c r="G99" i="6" s="1"/>
  <c r="G53" i="6"/>
  <c r="H87" i="6"/>
  <c r="G87" i="6" s="1"/>
  <c r="I87" i="6"/>
  <c r="G15" i="6"/>
  <c r="H51" i="6"/>
  <c r="G51" i="6" s="1"/>
  <c r="F151" i="6" l="1"/>
  <c r="I148" i="6"/>
  <c r="F148" i="6"/>
  <c r="D9" i="6"/>
</calcChain>
</file>

<file path=xl/sharedStrings.xml><?xml version="1.0" encoding="utf-8"?>
<sst xmlns="http://schemas.openxmlformats.org/spreadsheetml/2006/main" count="390" uniqueCount="322">
  <si>
    <t>ВН</t>
  </si>
  <si>
    <t>НН</t>
  </si>
  <si>
    <t>Всего</t>
  </si>
  <si>
    <t>L1</t>
  </si>
  <si>
    <t>L1.1</t>
  </si>
  <si>
    <t>L1.2</t>
  </si>
  <si>
    <t>L2</t>
  </si>
  <si>
    <t>L2.1</t>
  </si>
  <si>
    <t>L2.2</t>
  </si>
  <si>
    <t>L4.2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</si>
  <si>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</si>
  <si>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</si>
  <si>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</si>
  <si>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 том числе по уровню напряжения</t>
  </si>
  <si>
    <t>СН1</t>
  </si>
  <si>
    <t>СН2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</si>
  <si>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</si>
  <si>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</si>
  <si>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</si>
  <si>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</si>
  <si>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</si>
  <si>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</si>
  <si>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</si>
  <si>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</si>
  <si>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</si>
  <si>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</si>
  <si>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</si>
  <si>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</si>
  <si>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</si>
  <si>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(Ф.И.О.)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</si>
  <si>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</si>
  <si>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</si>
  <si>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</si>
  <si>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</si>
  <si>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№ п/п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</si>
  <si>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</si>
  <si>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</si>
  <si>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</si>
  <si>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</si>
  <si>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</si>
  <si>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</si>
  <si>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</si>
  <si>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</si>
  <si>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</si>
  <si>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</si>
  <si>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</si>
  <si>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</si>
  <si>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</si>
  <si>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</si>
  <si>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</si>
  <si>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</si>
  <si>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</si>
  <si>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</si>
  <si>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</si>
  <si>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2</t>
  </si>
  <si>
    <t>630</t>
  </si>
  <si>
    <t>2.1</t>
  </si>
  <si>
    <t>640</t>
  </si>
  <si>
    <t>2.2</t>
  </si>
  <si>
    <t>650</t>
  </si>
  <si>
    <t>2.3</t>
  </si>
  <si>
    <t>660</t>
  </si>
  <si>
    <t>2.4</t>
  </si>
  <si>
    <t>670</t>
  </si>
  <si>
    <t>3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</si>
  <si>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</si>
  <si>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</si>
  <si>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</si>
  <si>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</si>
  <si>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</si>
  <si>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</si>
  <si>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</si>
  <si>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</si>
  <si>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</si>
  <si>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</si>
  <si>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</si>
  <si>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</si>
  <si>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</si>
  <si>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</si>
  <si>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</si>
  <si>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</si>
  <si>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</si>
  <si>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</si>
  <si>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</si>
  <si>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</si>
  <si>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</si>
  <si>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</si>
  <si>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</si>
  <si>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</si>
  <si>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</si>
  <si>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</si>
  <si>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960</t>
  </si>
  <si>
    <t>6</t>
  </si>
  <si>
    <t>970</t>
  </si>
  <si>
    <t>7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</si>
  <si>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</si>
  <si>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</si>
  <si>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</si>
  <si>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</si>
  <si>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</si>
  <si>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</si>
  <si>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</si>
  <si>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</si>
  <si>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</si>
  <si>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</si>
  <si>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</si>
  <si>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</si>
  <si>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</si>
  <si>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</si>
  <si>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</si>
  <si>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</si>
  <si>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</si>
  <si>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</si>
  <si>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</si>
  <si>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</si>
  <si>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</si>
  <si>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</si>
  <si>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</si>
  <si>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</si>
  <si>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</si>
  <si>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</si>
  <si>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</si>
  <si>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</si>
  <si>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</si>
  <si>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</si>
  <si>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</si>
  <si>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</si>
  <si>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</si>
  <si>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</si>
  <si>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</si>
  <si>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</si>
  <si>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</si>
  <si>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</si>
  <si>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</si>
  <si>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</si>
  <si>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</si>
  <si>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</si>
  <si>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</si>
  <si>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</si>
  <si>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</si>
  <si>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</si>
  <si>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</si>
  <si>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</si>
  <si>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</si>
  <si>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</si>
  <si>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</si>
  <si>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</si>
  <si>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</si>
  <si>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</si>
  <si>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</si>
  <si>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</si>
  <si>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</si>
  <si>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</si>
  <si>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</si>
  <si>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</si>
  <si>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</si>
  <si>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</si>
  <si>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</si>
  <si>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</si>
  <si>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</si>
  <si>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</si>
  <si>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</si>
  <si>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</si>
  <si>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</si>
  <si>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</si>
  <si>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</si>
  <si>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</si>
  <si>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</si>
  <si>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</si>
  <si>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</si>
  <si>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</si>
  <si>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</si>
  <si>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2070</t>
  </si>
  <si>
    <t>24</t>
  </si>
  <si>
    <t>2080</t>
  </si>
  <si>
    <t>25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</si>
  <si>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</si>
  <si>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</si>
  <si>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</si>
  <si>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</si>
  <si>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</si>
  <si>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</si>
  <si>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</si>
  <si>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</si>
  <si>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</si>
  <si>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</si>
  <si>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</si>
  <si>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</si>
  <si>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</si>
  <si>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</si>
  <si>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</si>
  <si>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</si>
  <si>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</si>
  <si>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</si>
  <si>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</si>
  <si>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</si>
  <si>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</si>
  <si>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</si>
  <si>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</si>
  <si>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</si>
  <si>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</si>
  <si>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</si>
  <si>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</si>
  <si>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</si>
  <si>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</si>
  <si>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</si>
  <si>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</si>
  <si>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</si>
  <si>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</si>
  <si>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</si>
  <si>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</si>
  <si>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</si>
  <si>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</si>
  <si>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</si>
  <si>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</si>
  <si>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</si>
  <si>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</si>
  <si>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</si>
  <si>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</si>
  <si>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</si>
  <si>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</si>
  <si>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</si>
  <si>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</si>
  <si>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</si>
  <si>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</si>
  <si>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</si>
  <si>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</si>
  <si>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</si>
  <si>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</si>
  <si>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</si>
  <si>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</si>
  <si>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</si>
  <si>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</si>
  <si>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</si>
  <si>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</si>
  <si>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</si>
  <si>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</si>
  <si>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</si>
  <si>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</si>
  <si>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</si>
  <si>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</si>
  <si>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</si>
  <si>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</si>
  <si>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</si>
  <si>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</si>
  <si>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</si>
  <si>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</si>
  <si>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</si>
  <si>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</si>
  <si>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</si>
  <si>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</si>
  <si>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</si>
  <si>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</si>
  <si>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</si>
  <si>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</si>
  <si>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</si>
  <si>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</si>
  <si>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</si>
  <si>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</si>
  <si>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</si>
  <si>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</si>
  <si>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</si>
  <si>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</si>
  <si>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</si>
  <si>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</si>
  <si>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</si>
  <si>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</si>
  <si>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</si>
  <si>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</si>
  <si>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</si>
  <si>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</si>
  <si>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</si>
  <si>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</si>
  <si>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</si>
  <si>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</si>
  <si>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</si>
  <si>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</si>
  <si>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</si>
  <si>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</si>
  <si>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</si>
  <si>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</si>
  <si>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</si>
  <si>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</si>
  <si>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</si>
  <si>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</si>
  <si>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</si>
  <si>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</si>
  <si>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</si>
  <si>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</si>
  <si>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</si>
  <si>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</si>
  <si>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</si>
  <si>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</si>
  <si>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</si>
  <si>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</si>
  <si>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</si>
  <si>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</si>
  <si>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</si>
  <si>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</si>
  <si>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</si>
  <si>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</si>
  <si>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</si>
  <si>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</si>
  <si>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</si>
  <si>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</si>
  <si>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</si>
  <si>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</si>
  <si>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</si>
  <si>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</si>
  <si>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</si>
  <si>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</si>
  <si>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</si>
  <si>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</si>
  <si>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</si>
  <si>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</si>
  <si>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</si>
  <si>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</si>
  <si>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1.2.1</t>
  </si>
  <si>
    <t>АО "Группа "Илим"</t>
  </si>
  <si>
    <t>4.3.1</t>
  </si>
  <si>
    <t>ООО "СельЭнерго"</t>
  </si>
  <si>
    <t>Сведения об отпуске (передаче) электроэнергии распределительными сетевыми организациями отдельным категориям потребителей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</si>
</sst>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000"/>
    <numFmt numFmtId="167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9"/>
      <color indexed="23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49" fontId="2" fillId="0" borderId="2" xfId="44" applyFont="1" applyBorder="1" applyAlignment="1">
      <alignment horizontal="center" vertical="center" wrapText="1"/>
    </xf>
    <xf numFmtId="49" fontId="2" fillId="0" borderId="0" xfId="44" applyFont="1" applyBorder="1" applyAlignment="1">
      <alignment horizontal="right" vertical="center"/>
    </xf>
    <xf numFmtId="49" fontId="2" fillId="5" borderId="2" xfId="44" applyFont="1" applyFill="1" applyBorder="1" applyAlignment="1">
      <alignment vertical="center" wrapText="1"/>
    </xf>
    <xf numFmtId="49" fontId="2" fillId="0" borderId="2" xfId="44" applyFont="1" applyBorder="1" applyAlignment="1">
      <alignment horizontal="left" vertical="center" wrapText="1" indent="1"/>
    </xf>
    <xf numFmtId="167" fontId="2" fillId="2" borderId="2" xfId="44" applyNumberFormat="1" applyFont="1" applyFill="1" applyBorder="1" applyAlignment="1" applyProtection="1">
      <alignment horizontal="right" vertical="center"/>
      <protection locked="0"/>
    </xf>
    <xf numFmtId="0" fontId="2" fillId="0" borderId="8" xfId="44" applyNumberFormat="1" applyFont="1" applyBorder="1" applyAlignment="1">
      <alignment horizontal="center" vertical="center" wrapText="1"/>
    </xf>
    <xf numFmtId="167" fontId="2" fillId="2" borderId="8" xfId="44" applyNumberFormat="1" applyFont="1" applyFill="1" applyBorder="1" applyAlignment="1" applyProtection="1">
      <alignment horizontal="right" vertical="center"/>
      <protection locked="0"/>
    </xf>
    <xf numFmtId="167" fontId="2" fillId="2" borderId="9" xfId="44" applyNumberFormat="1" applyFont="1" applyFill="1" applyBorder="1" applyAlignment="1" applyProtection="1">
      <alignment horizontal="right" vertical="center"/>
      <protection locked="0"/>
    </xf>
    <xf numFmtId="49" fontId="2" fillId="5" borderId="2" xfId="44" applyFont="1" applyFill="1" applyBorder="1" applyAlignment="1">
      <alignment horizontal="left" vertical="center" wrapText="1"/>
    </xf>
    <xf numFmtId="49" fontId="2" fillId="0" borderId="2" xfId="44" applyFont="1" applyBorder="1" applyAlignment="1">
      <alignment horizontal="left" vertical="center" wrapText="1" indent="2"/>
    </xf>
    <xf numFmtId="49" fontId="2" fillId="0" borderId="2" xfId="44" applyFont="1" applyBorder="1" applyAlignment="1">
      <alignment horizontal="left" vertical="center" wrapText="1" indent="3"/>
    </xf>
    <xf numFmtId="167" fontId="2" fillId="2" borderId="2" xfId="41" applyNumberFormat="1" applyFont="1" applyFill="1" applyBorder="1" applyAlignment="1" applyProtection="1">
      <alignment horizontal="right" vertical="center"/>
      <protection locked="0"/>
    </xf>
    <xf numFmtId="49" fontId="2" fillId="0" borderId="2" xfId="44" applyFont="1" applyBorder="1" applyAlignment="1">
      <alignment horizontal="left" vertical="center" wrapText="1" indent="4"/>
    </xf>
    <xf numFmtId="167" fontId="2" fillId="2" borderId="2" xfId="46" applyNumberFormat="1" applyFont="1" applyFill="1" applyBorder="1" applyAlignment="1" applyProtection="1">
      <alignment horizontal="right" vertical="center"/>
      <protection locked="0"/>
    </xf>
    <xf numFmtId="167" fontId="2" fillId="2" borderId="2" xfId="41" applyNumberFormat="1" applyFont="1" applyFill="1" applyBorder="1" applyAlignment="1" applyProtection="1">
      <alignment horizontal="right" vertical="center" wrapText="1"/>
      <protection locked="0"/>
    </xf>
    <xf numFmtId="167" fontId="2" fillId="2" borderId="9" xfId="4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1" applyFont="1" applyAlignment="1">
      <alignment vertical="center"/>
    </xf>
    <xf numFmtId="0" fontId="2" fillId="0" borderId="0" xfId="41" applyFont="1" applyAlignment="1">
      <alignment horizontal="left" vertical="center" indent="1"/>
    </xf>
    <xf numFmtId="0" fontId="2" fillId="0" borderId="0" xfId="42" applyFont="1" applyAlignment="1">
      <alignment vertical="center"/>
    </xf>
    <xf numFmtId="49" fontId="2" fillId="0" borderId="0" xfId="41" applyNumberFormat="1" applyFont="1" applyAlignment="1">
      <alignment vertical="center"/>
    </xf>
    <xf numFmtId="0" fontId="3" fillId="0" borderId="0" xfId="41" applyFont="1" applyAlignment="1">
      <alignment horizontal="right" vertical="center"/>
    </xf>
    <xf numFmtId="0" fontId="3" fillId="0" borderId="0" xfId="41" applyFont="1" applyAlignment="1">
      <alignment horizontal="center" vertical="center"/>
    </xf>
    <xf numFmtId="0" fontId="2" fillId="0" borderId="5" xfId="43" applyFont="1" applyBorder="1" applyAlignment="1">
      <alignment horizontal="left" vertical="center"/>
    </xf>
    <xf numFmtId="0" fontId="2" fillId="0" borderId="1" xfId="41" applyFont="1" applyBorder="1" applyAlignment="1">
      <alignment vertical="center"/>
    </xf>
    <xf numFmtId="0" fontId="2" fillId="0" borderId="8" xfId="45" applyFont="1" applyBorder="1" applyAlignment="1">
      <alignment horizontal="center" vertical="center" wrapText="1"/>
    </xf>
    <xf numFmtId="0" fontId="2" fillId="0" borderId="9" xfId="45" applyFont="1" applyBorder="1" applyAlignment="1">
      <alignment horizontal="center" vertical="center" wrapText="1"/>
    </xf>
    <xf numFmtId="0" fontId="7" fillId="0" borderId="0" xfId="41" applyFont="1" applyAlignment="1">
      <alignment horizontal="center" vertical="center" wrapText="1"/>
    </xf>
    <xf numFmtId="49" fontId="2" fillId="0" borderId="0" xfId="44" applyFont="1" applyAlignment="1">
      <alignment vertical="center"/>
    </xf>
    <xf numFmtId="49" fontId="2" fillId="0" borderId="0" xfId="44" applyFont="1" applyBorder="1" applyAlignment="1">
      <alignment vertical="center"/>
    </xf>
    <xf numFmtId="49" fontId="2" fillId="0" borderId="9" xfId="44" applyFont="1" applyBorder="1" applyAlignment="1">
      <alignment vertical="center"/>
    </xf>
    <xf numFmtId="167" fontId="2" fillId="3" borderId="2" xfId="44" applyNumberFormat="1" applyFont="1" applyFill="1" applyBorder="1" applyAlignment="1">
      <alignment horizontal="right" vertical="center"/>
    </xf>
    <xf numFmtId="0" fontId="6" fillId="0" borderId="0" xfId="41" applyFont="1"/>
    <xf numFmtId="49" fontId="8" fillId="0" borderId="8" xfId="44" applyFont="1" applyBorder="1" applyAlignment="1">
      <alignment vertical="center"/>
    </xf>
    <xf numFmtId="49" fontId="2" fillId="0" borderId="1" xfId="44" applyFont="1" applyBorder="1" applyAlignment="1">
      <alignment horizontal="left" vertical="center" wrapText="1" indent="1"/>
    </xf>
    <xf numFmtId="49" fontId="8" fillId="0" borderId="1" xfId="44" applyFont="1" applyBorder="1" applyAlignment="1">
      <alignment horizontal="center" vertical="center" wrapText="1"/>
    </xf>
    <xf numFmtId="166" fontId="2" fillId="0" borderId="1" xfId="44" applyNumberFormat="1" applyFont="1" applyBorder="1" applyAlignment="1">
      <alignment horizontal="right" vertical="center"/>
    </xf>
    <xf numFmtId="0" fontId="10" fillId="7" borderId="0" xfId="47" applyFont="1" applyFill="1" applyAlignment="1">
      <alignment horizontal="center" vertical="center" wrapText="1"/>
    </xf>
    <xf numFmtId="0" fontId="2" fillId="7" borderId="8" xfId="47" applyFont="1" applyFill="1" applyBorder="1" applyAlignment="1">
      <alignment horizontal="left" vertical="center"/>
    </xf>
    <xf numFmtId="0" fontId="0" fillId="8" borderId="9" xfId="48" applyFont="1" applyFill="1" applyBorder="1" applyAlignment="1">
      <alignment horizontal="left" vertical="center" wrapText="1" indent="2"/>
    </xf>
    <xf numFmtId="167" fontId="2" fillId="3" borderId="8" xfId="44" applyNumberFormat="1" applyFont="1" applyFill="1" applyBorder="1" applyAlignment="1">
      <alignment horizontal="right" vertical="center"/>
    </xf>
    <xf numFmtId="49" fontId="9" fillId="6" borderId="8" xfId="0" applyNumberFormat="1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left" vertical="center" indent="1"/>
    </xf>
    <xf numFmtId="0" fontId="9" fillId="6" borderId="10" xfId="0" applyFont="1" applyFill="1" applyBorder="1" applyAlignment="1">
      <alignment horizontal="center" vertical="top"/>
    </xf>
    <xf numFmtId="0" fontId="9" fillId="6" borderId="11" xfId="0" applyFont="1" applyFill="1" applyBorder="1" applyAlignment="1">
      <alignment horizontal="center" vertical="top"/>
    </xf>
    <xf numFmtId="166" fontId="2" fillId="0" borderId="2" xfId="44" applyNumberFormat="1" applyFont="1" applyBorder="1" applyAlignment="1">
      <alignment horizontal="right" vertical="center"/>
    </xf>
    <xf numFmtId="0" fontId="9" fillId="6" borderId="8" xfId="0" applyFont="1" applyFill="1" applyBorder="1" applyAlignment="1">
      <alignment horizontal="center" vertical="top"/>
    </xf>
    <xf numFmtId="167" fontId="2" fillId="0" borderId="2" xfId="44" applyNumberFormat="1" applyFont="1" applyBorder="1" applyAlignment="1">
      <alignment horizontal="right" vertical="center"/>
    </xf>
    <xf numFmtId="49" fontId="2" fillId="0" borderId="9" xfId="41" applyNumberFormat="1" applyFont="1" applyBorder="1" applyAlignment="1">
      <alignment vertical="center"/>
    </xf>
    <xf numFmtId="167" fontId="2" fillId="3" borderId="2" xfId="41" applyNumberFormat="1" applyFont="1" applyFill="1" applyBorder="1" applyAlignment="1">
      <alignment horizontal="right" vertical="center"/>
    </xf>
    <xf numFmtId="167" fontId="2" fillId="3" borderId="2" xfId="46" applyNumberFormat="1" applyFont="1" applyFill="1" applyBorder="1" applyAlignment="1">
      <alignment horizontal="right" vertical="center"/>
    </xf>
    <xf numFmtId="167" fontId="2" fillId="3" borderId="2" xfId="41" applyNumberFormat="1" applyFont="1" applyFill="1" applyBorder="1" applyAlignment="1">
      <alignment horizontal="right" vertical="center" wrapText="1"/>
    </xf>
    <xf numFmtId="0" fontId="2" fillId="0" borderId="1" xfId="41" applyFont="1" applyBorder="1" applyAlignment="1">
      <alignment horizontal="center" vertical="center" wrapText="1"/>
    </xf>
    <xf numFmtId="0" fontId="2" fillId="0" borderId="0" xfId="41" applyFont="1" applyAlignment="1">
      <alignment horizontal="center" vertical="center" wrapText="1"/>
    </xf>
    <xf numFmtId="0" fontId="6" fillId="0" borderId="0" xfId="41" applyFont="1" applyAlignment="1">
      <alignment horizontal="center" vertical="center"/>
    </xf>
    <xf numFmtId="0" fontId="6" fillId="0" borderId="0" xfId="41" applyFont="1" applyAlignment="1">
      <alignment horizontal="left" vertical="center"/>
    </xf>
    <xf numFmtId="0" fontId="6" fillId="0" borderId="0" xfId="41" applyFont="1" applyAlignment="1">
      <alignment vertical="center"/>
    </xf>
    <xf numFmtId="49" fontId="2" fillId="4" borderId="8" xfId="44" applyFont="1" applyFill="1" applyBorder="1" applyAlignment="1">
      <alignment horizontal="center" vertical="center"/>
    </xf>
    <xf numFmtId="49" fontId="2" fillId="4" borderId="10" xfId="44" applyFont="1" applyFill="1" applyBorder="1" applyAlignment="1">
      <alignment horizontal="center" vertical="center"/>
    </xf>
    <xf numFmtId="49" fontId="2" fillId="4" borderId="11" xfId="44" applyFont="1" applyFill="1" applyBorder="1" applyAlignment="1">
      <alignment horizontal="center" vertical="center"/>
    </xf>
    <xf numFmtId="0" fontId="6" fillId="0" borderId="0" xfId="41" applyFont="1" applyAlignment="1">
      <alignment horizontal="center" vertical="center"/>
    </xf>
    <xf numFmtId="0" fontId="6" fillId="0" borderId="4" xfId="41" applyFont="1" applyBorder="1" applyAlignment="1">
      <alignment horizontal="center" vertical="center"/>
    </xf>
    <xf numFmtId="0" fontId="6" fillId="0" borderId="3" xfId="41" applyFont="1" applyBorder="1" applyAlignment="1">
      <alignment horizontal="center" vertical="center"/>
    </xf>
    <xf numFmtId="0" fontId="3" fillId="0" borderId="1" xfId="43" applyFont="1" applyBorder="1" applyAlignment="1">
      <alignment horizontal="left" vertical="center" wrapText="1"/>
    </xf>
    <xf numFmtId="0" fontId="2" fillId="0" borderId="6" xfId="41" applyFont="1" applyBorder="1" applyAlignment="1">
      <alignment horizontal="center" vertical="center" wrapText="1"/>
    </xf>
    <xf numFmtId="0" fontId="2" fillId="0" borderId="7" xfId="41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0" borderId="8" xfId="45" applyFont="1" applyBorder="1" applyAlignment="1">
      <alignment horizontal="center" vertical="center" wrapText="1"/>
    </xf>
    <xf numFmtId="0" fontId="2" fillId="0" borderId="6" xfId="45" applyFont="1" applyBorder="1" applyAlignment="1">
      <alignment horizontal="center" vertical="center" wrapText="1"/>
    </xf>
  </cellXfs>
  <cellStyles count="49">
    <cellStyle name="Обычный" xfId="0" builtinId="0"/>
    <cellStyle name="Обычный 10" xfId="44" xr:uid="{00000000-0005-0000-0000-000001000000}"/>
    <cellStyle name="Обычный 2" xfId="1" xr:uid="{00000000-0005-0000-0000-000002000000}"/>
    <cellStyle name="Обычный_MINENERGO.340.PRIL79(v0.1)" xfId="47" xr:uid="{00000000-0005-0000-0000-000003000000}"/>
    <cellStyle name="Обычный_ЖКУ_проект3" xfId="48" xr:uid="{00000000-0005-0000-0000-000004000000}"/>
    <cellStyle name="Обычный_Полезный отпуск электроэнергии и мощности, реализуемой по нерегулируемым ценам" xfId="42" xr:uid="{00000000-0005-0000-0000-000005000000}"/>
    <cellStyle name="Обычный_Полезный отпуск электроэнергии и мощности, реализуемой по регулируемым ценам" xfId="41" xr:uid="{00000000-0005-0000-0000-000006000000}"/>
    <cellStyle name="Обычный_Продажа" xfId="46" xr:uid="{00000000-0005-0000-0000-000007000000}"/>
    <cellStyle name="Обычный_Сведения об отпуске (передаче) электроэнергии потребителям распределительными сетевыми организациями" xfId="45" xr:uid="{00000000-0005-0000-0000-000008000000}"/>
    <cellStyle name="Обычный_Шаблон по источникам для Модуля Реестр (2)" xfId="43" xr:uid="{00000000-0005-0000-0000-000009000000}"/>
    <cellStyle name="Финансовый [0] 2" xfId="2" xr:uid="{00000000-0005-0000-0000-00000A000000}"/>
    <cellStyle name="Финансовый 10" xfId="4" xr:uid="{00000000-0005-0000-0000-00000B000000}"/>
    <cellStyle name="Финансовый 11" xfId="5" xr:uid="{00000000-0005-0000-0000-00000C000000}"/>
    <cellStyle name="Финансовый 12" xfId="6" xr:uid="{00000000-0005-0000-0000-00000D000000}"/>
    <cellStyle name="Финансовый 13" xfId="7" xr:uid="{00000000-0005-0000-0000-00000E000000}"/>
    <cellStyle name="Финансовый 14" xfId="8" xr:uid="{00000000-0005-0000-0000-00000F000000}"/>
    <cellStyle name="Финансовый 15" xfId="9" xr:uid="{00000000-0005-0000-0000-000010000000}"/>
    <cellStyle name="Финансовый 16" xfId="10" xr:uid="{00000000-0005-0000-0000-000011000000}"/>
    <cellStyle name="Финансовый 17" xfId="11" xr:uid="{00000000-0005-0000-0000-000012000000}"/>
    <cellStyle name="Финансовый 18" xfId="12" xr:uid="{00000000-0005-0000-0000-000013000000}"/>
    <cellStyle name="Финансовый 19" xfId="13" xr:uid="{00000000-0005-0000-0000-000014000000}"/>
    <cellStyle name="Финансовый 2" xfId="3" xr:uid="{00000000-0005-0000-0000-000015000000}"/>
    <cellStyle name="Финансовый 20" xfId="14" xr:uid="{00000000-0005-0000-0000-000016000000}"/>
    <cellStyle name="Финансовый 21" xfId="15" xr:uid="{00000000-0005-0000-0000-000017000000}"/>
    <cellStyle name="Финансовый 22" xfId="16" xr:uid="{00000000-0005-0000-0000-000018000000}"/>
    <cellStyle name="Финансовый 23" xfId="17" xr:uid="{00000000-0005-0000-0000-000019000000}"/>
    <cellStyle name="Финансовый 24" xfId="18" xr:uid="{00000000-0005-0000-0000-00001A000000}"/>
    <cellStyle name="Финансовый 25" xfId="19" xr:uid="{00000000-0005-0000-0000-00001B000000}"/>
    <cellStyle name="Финансовый 26" xfId="20" xr:uid="{00000000-0005-0000-0000-00001C000000}"/>
    <cellStyle name="Финансовый 27" xfId="21" xr:uid="{00000000-0005-0000-0000-00001D000000}"/>
    <cellStyle name="Финансовый 28" xfId="22" xr:uid="{00000000-0005-0000-0000-00001E000000}"/>
    <cellStyle name="Финансовый 29" xfId="23" xr:uid="{00000000-0005-0000-0000-00001F000000}"/>
    <cellStyle name="Финансовый 3" xfId="24" xr:uid="{00000000-0005-0000-0000-000020000000}"/>
    <cellStyle name="Финансовый 30" xfId="25" xr:uid="{00000000-0005-0000-0000-000021000000}"/>
    <cellStyle name="Финансовый 31" xfId="26" xr:uid="{00000000-0005-0000-0000-000022000000}"/>
    <cellStyle name="Финансовый 32" xfId="27" xr:uid="{00000000-0005-0000-0000-000023000000}"/>
    <cellStyle name="Финансовый 33" xfId="28" xr:uid="{00000000-0005-0000-0000-000024000000}"/>
    <cellStyle name="Финансовый 34" xfId="29" xr:uid="{00000000-0005-0000-0000-000025000000}"/>
    <cellStyle name="Финансовый 35" xfId="30" xr:uid="{00000000-0005-0000-0000-000026000000}"/>
    <cellStyle name="Финансовый 36" xfId="31" xr:uid="{00000000-0005-0000-0000-000027000000}"/>
    <cellStyle name="Финансовый 37" xfId="32" xr:uid="{00000000-0005-0000-0000-000028000000}"/>
    <cellStyle name="Финансовый 38" xfId="33" xr:uid="{00000000-0005-0000-0000-000029000000}"/>
    <cellStyle name="Финансовый 39" xfId="34" xr:uid="{00000000-0005-0000-0000-00002A000000}"/>
    <cellStyle name="Финансовый 4" xfId="35" xr:uid="{00000000-0005-0000-0000-00002B000000}"/>
    <cellStyle name="Финансовый 5" xfId="36" xr:uid="{00000000-0005-0000-0000-00002C000000}"/>
    <cellStyle name="Финансовый 6" xfId="37" xr:uid="{00000000-0005-0000-0000-00002D000000}"/>
    <cellStyle name="Финансовый 7" xfId="38" xr:uid="{00000000-0005-0000-0000-00002E000000}"/>
    <cellStyle name="Финансовый 8" xfId="39" xr:uid="{00000000-0005-0000-0000-00002F000000}"/>
    <cellStyle name="Финансовый 9" xfId="40" xr:uid="{00000000-0005-0000-0000-000030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&#1055;&#1086;&#1090;&#1077;&#1088;&#1080;/Balance%20&#1050;&#1086;&#1088;&#1103;&#1078;&#1084;&#1072;%202012(06.04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86;%20&#1089;&#1090;&#1072;&#1088;&#1086;&#1075;&#1086;%20D/&#1052;&#1086;&#1080;%20&#1076;&#1086;&#1082;&#1091;&#1084;&#1077;&#1085;&#1090;&#1099;/&#1054;&#1058;&#1063;&#1045;&#1058;&#1053;&#1054;&#1057;&#1058;&#1068;/2017/46-&#1101;&#1101;/&#1075;&#1086;&#1076;/46EP.ST(v2.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4;&#1058;&#1063;&#1045;&#1058;&#1053;&#1054;&#1057;&#1058;&#1068;/2020/46-&#1101;&#1101;/&#1075;&#1086;&#1076;/46EP.STX(v1.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 (267)"/>
      <sheetName val="Таблица2 (267)"/>
      <sheetName val="Таблица3 (267)"/>
      <sheetName val="Таблица5 (267)"/>
      <sheetName val="Таблица6 (267)"/>
      <sheetName val="Таблица8 (267)"/>
      <sheetName val="Таблица9 (267)"/>
      <sheetName val="Таблица10 (267)"/>
      <sheetName val="Загрузка"/>
      <sheetName val="Пояснение к формулам"/>
      <sheetName val="Таблица 1"/>
      <sheetName val="Таблица 2"/>
      <sheetName val="Таблица 2А"/>
      <sheetName val="Таблица 3"/>
      <sheetName val="Таблица 4"/>
      <sheetName val="Таблица 4А"/>
      <sheetName val="Таблица 5"/>
      <sheetName val="Таблица 6"/>
      <sheetName val="Таблица 7"/>
      <sheetName val="Таблица 8"/>
      <sheetName val="Таблица 9"/>
      <sheetName val="Определение погрешности"/>
      <sheetName val="Поступление"/>
      <sheetName val="Отпуск круп. потребителям"/>
      <sheetName val="Отпуск по трехфаз. счетчикам"/>
      <sheetName val="Отпуск по однофаз. счетчикам"/>
      <sheetName val="Сводка"/>
      <sheetName val="Структура потерь"/>
      <sheetName val="Потери по уровню напряжения"/>
      <sheetName val="Предложение к нормативу"/>
      <sheetName val="Динамика"/>
      <sheetName val="ДОПУСТИМАЯ_ПОГРЕШНОСТЬ"/>
      <sheetName val="Таблица 1 ПП"/>
      <sheetName val="Таблица 2 ПП"/>
      <sheetName val="Таблица 2а ПП"/>
      <sheetName val="Таблица 6 ПП"/>
      <sheetName val="Таблица 7 ПП"/>
      <sheetName val="Таблица 8 ПП"/>
      <sheetName val="Таблица 9 ПП"/>
      <sheetName val="Предложение на утверждение ПП"/>
      <sheetName val="Динамика основных показателей П"/>
    </sheetNames>
    <sheetDataSet>
      <sheetData sheetId="0"/>
      <sheetData sheetId="1"/>
      <sheetData sheetId="2">
        <row r="8">
          <cell r="B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0.38209900000000002</v>
          </cell>
          <cell r="D11">
            <v>0.111245</v>
          </cell>
          <cell r="E11">
            <v>1.35137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2.8815E-2</v>
          </cell>
          <cell r="K11">
            <v>4.1999999999999997E-3</v>
          </cell>
          <cell r="L11">
            <v>7.6999999999999994E-3</v>
          </cell>
          <cell r="N11">
            <v>3.8999999999999998E-3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D12">
            <v>0</v>
          </cell>
          <cell r="E12">
            <v>0</v>
          </cell>
          <cell r="I12">
            <v>0</v>
          </cell>
          <cell r="N12">
            <v>0</v>
          </cell>
        </row>
        <row r="13">
          <cell r="B13">
            <v>3.178947</v>
          </cell>
          <cell r="F13">
            <v>0</v>
          </cell>
          <cell r="K13">
            <v>7.9799999999999996E-2</v>
          </cell>
          <cell r="M13">
            <v>0.43015370000000003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F34" t="str">
            <v>не утверждались</v>
          </cell>
        </row>
      </sheetData>
      <sheetData sheetId="11">
        <row r="44">
          <cell r="E44">
            <v>6019.3781197314838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299.16341973148121</v>
          </cell>
        </row>
      </sheetData>
      <sheetData sheetId="22">
        <row r="1">
          <cell r="E1">
            <v>0.50847420400399479</v>
          </cell>
        </row>
      </sheetData>
      <sheetData sheetId="23"/>
      <sheetData sheetId="24"/>
      <sheetData sheetId="25"/>
      <sheetData sheetId="26">
        <row r="4">
          <cell r="D4">
            <v>2011</v>
          </cell>
        </row>
        <row r="15">
          <cell r="F15">
            <v>0</v>
          </cell>
          <cell r="G15">
            <v>0</v>
          </cell>
          <cell r="H15">
            <v>1.2772319454365038</v>
          </cell>
          <cell r="I15">
            <v>1.2814012738836706</v>
          </cell>
        </row>
        <row r="19">
          <cell r="C19">
            <v>1.2772319454365038</v>
          </cell>
        </row>
      </sheetData>
      <sheetData sheetId="27">
        <row r="8">
          <cell r="D8">
            <v>0</v>
          </cell>
          <cell r="G8">
            <v>0</v>
          </cell>
        </row>
        <row r="21">
          <cell r="D21">
            <v>0</v>
          </cell>
          <cell r="G21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7">
          <cell r="D27">
            <v>0</v>
          </cell>
          <cell r="G27">
            <v>0</v>
          </cell>
        </row>
        <row r="40">
          <cell r="D40">
            <v>0</v>
          </cell>
          <cell r="G40">
            <v>0</v>
          </cell>
        </row>
        <row r="43">
          <cell r="D43">
            <v>0</v>
          </cell>
          <cell r="G43">
            <v>0</v>
          </cell>
        </row>
        <row r="44">
          <cell r="D44">
            <v>0</v>
          </cell>
          <cell r="G44">
            <v>0</v>
          </cell>
        </row>
        <row r="46">
          <cell r="D46">
            <v>1395.9850000000001</v>
          </cell>
          <cell r="G46">
            <v>1395.9850000000001</v>
          </cell>
        </row>
        <row r="59">
          <cell r="D59">
            <v>493.34400000000005</v>
          </cell>
          <cell r="G59">
            <v>630.11471688942663</v>
          </cell>
        </row>
        <row r="62">
          <cell r="D62">
            <v>152.11688171507791</v>
          </cell>
          <cell r="G62">
            <v>171.91441758735854</v>
          </cell>
        </row>
        <row r="63">
          <cell r="D63">
            <v>2041.445881715078</v>
          </cell>
          <cell r="G63">
            <v>2198.0141344767853</v>
          </cell>
        </row>
        <row r="65">
          <cell r="D65">
            <v>509.95370000000003</v>
          </cell>
          <cell r="G65">
            <v>509.95370000000003</v>
          </cell>
        </row>
        <row r="69">
          <cell r="D69">
            <v>3178.9470000000001</v>
          </cell>
          <cell r="G69">
            <v>4073.5067354086732</v>
          </cell>
        </row>
        <row r="70">
          <cell r="D70">
            <v>147.0465380164033</v>
          </cell>
          <cell r="G70">
            <v>166.45520496939821</v>
          </cell>
        </row>
        <row r="71">
          <cell r="D71">
            <v>3835.9472380164034</v>
          </cell>
          <cell r="G71">
            <v>4749.9156403780717</v>
          </cell>
        </row>
        <row r="72">
          <cell r="D72">
            <v>5877.3931197314814</v>
          </cell>
          <cell r="G72">
            <v>6947.929774854857</v>
          </cell>
        </row>
      </sheetData>
      <sheetData sheetId="28">
        <row r="5">
          <cell r="B5">
            <v>0</v>
          </cell>
          <cell r="F5">
            <v>0</v>
          </cell>
        </row>
        <row r="9">
          <cell r="B9">
            <v>0</v>
          </cell>
          <cell r="F9">
            <v>0</v>
          </cell>
        </row>
        <row r="13">
          <cell r="B13">
            <v>61246.022000000004</v>
          </cell>
          <cell r="F13">
            <v>69217</v>
          </cell>
        </row>
        <row r="17">
          <cell r="B17">
            <v>59204.576118284924</v>
          </cell>
          <cell r="F17">
            <v>67018.985865523209</v>
          </cell>
        </row>
        <row r="21">
          <cell r="B21">
            <v>61246.022000000004</v>
          </cell>
          <cell r="F21">
            <v>69217</v>
          </cell>
        </row>
      </sheetData>
      <sheetData sheetId="29"/>
      <sheetData sheetId="30"/>
      <sheetData sheetId="31">
        <row r="1">
          <cell r="M1">
            <v>0</v>
          </cell>
        </row>
        <row r="2">
          <cell r="M2">
            <v>0</v>
          </cell>
        </row>
        <row r="3">
          <cell r="M3">
            <v>152.11688171507791</v>
          </cell>
        </row>
        <row r="4">
          <cell r="M4">
            <v>0</v>
          </cell>
        </row>
        <row r="5">
          <cell r="M5">
            <v>152.11688171507791</v>
          </cell>
        </row>
        <row r="6">
          <cell r="M6">
            <v>0</v>
          </cell>
        </row>
        <row r="7">
          <cell r="M7">
            <v>147.0465380164033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ЭСК"/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Бреховских Ирина Викторовна</v>
          </cell>
        </row>
        <row r="45">
          <cell r="G45" t="str">
            <v>Экономист</v>
          </cell>
        </row>
        <row r="46">
          <cell r="G46" t="str">
            <v>8(81850)3-32-51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77"/>
  <sheetViews>
    <sheetView tabSelected="1" view="pageBreakPreview" topLeftCell="D7" zoomScale="60" zoomScaleNormal="100" workbookViewId="0">
      <selection activeCell="D9" sqref="D9"/>
    </sheetView>
  </sheetViews>
  <sheetFormatPr defaultRowHeight="11.25" x14ac:dyDescent="0.25"/>
  <cols>
    <col min="1" max="2" width="9.140625" style="17" hidden="1" customWidth="1"/>
    <col min="3" max="3" width="4.140625" style="17" hidden="1" customWidth="1"/>
    <col min="4" max="4" width="9.140625" style="17" customWidth="1"/>
    <col min="5" max="5" width="81.7109375" style="17" customWidth="1"/>
    <col min="6" max="6" width="6.7109375" style="17" customWidth="1"/>
    <col min="7" max="11" width="15.7109375" style="17" customWidth="1"/>
    <col min="12" max="30" width="11.7109375" style="17" customWidth="1"/>
    <col min="31" max="16384" width="9.140625" style="17"/>
  </cols>
  <sheetData>
    <row r="1" spans="1:72" hidden="1" x14ac:dyDescent="0.25">
      <c r="N1" s="18"/>
      <c r="O1" s="18"/>
      <c r="P1" s="18"/>
      <c r="Q1" s="18"/>
      <c r="R1" s="18"/>
      <c r="T1" s="18"/>
      <c r="AI1" s="18"/>
      <c r="AJ1" s="18"/>
      <c r="AK1" s="18"/>
      <c r="AX1" s="18"/>
      <c r="BA1" s="18"/>
      <c r="BD1" s="18"/>
      <c r="BS1" s="18"/>
      <c r="BT1" s="18"/>
    </row>
    <row r="2" spans="1:72" hidden="1" x14ac:dyDescent="0.25"/>
    <row r="3" spans="1:72" hidden="1" x14ac:dyDescent="0.25"/>
    <row r="4" spans="1:72" hidden="1" x14ac:dyDescent="0.25">
      <c r="F4" s="19"/>
      <c r="G4" s="19"/>
      <c r="H4" s="19"/>
      <c r="I4" s="19"/>
      <c r="J4" s="19"/>
      <c r="K4" s="19"/>
      <c r="L4" s="19"/>
    </row>
    <row r="5" spans="1:72" hidden="1" x14ac:dyDescent="0.25">
      <c r="A5" s="20"/>
      <c r="F5" s="17" t="s">
        <v>3</v>
      </c>
      <c r="G5" s="17" t="s">
        <v>4</v>
      </c>
      <c r="H5" s="17" t="s">
        <v>5</v>
      </c>
      <c r="I5" s="17" t="s">
        <v>6</v>
      </c>
      <c r="J5" s="17" t="s">
        <v>7</v>
      </c>
      <c r="K5" s="17" t="s">
        <v>8</v>
      </c>
      <c r="L5" s="17" t="s">
        <v>9</v>
      </c>
    </row>
    <row r="6" spans="1:72" hidden="1" x14ac:dyDescent="0.25">
      <c r="A6" s="20"/>
    </row>
    <row r="7" spans="1:72" ht="12" customHeight="1" x14ac:dyDescent="0.25">
      <c r="A7" s="20"/>
      <c r="K7" s="21"/>
      <c r="L7" s="22"/>
    </row>
    <row r="8" spans="1:72" ht="22.5" customHeight="1" x14ac:dyDescent="0.25">
      <c r="A8" s="20"/>
      <c r="D8" s="63" t="s">
        <v>321</v>
      </c>
      <c r="E8" s="63"/>
      <c r="F8" s="22"/>
      <c r="G8" s="22"/>
      <c r="H8" s="22"/>
      <c r="I8" s="22"/>
      <c r="J8" s="22"/>
      <c r="K8" s="22"/>
      <c r="L8" s="22"/>
    </row>
    <row r="9" spans="1:72" x14ac:dyDescent="0.25">
      <c r="A9" s="20"/>
      <c r="D9" s="23" t="str">
        <f>IF(org="","Не определено",org)</f>
        <v>Не определено</v>
      </c>
      <c r="E9" s="23"/>
      <c r="F9" s="22"/>
      <c r="G9" s="22"/>
      <c r="H9" s="22"/>
      <c r="I9" s="22"/>
      <c r="J9" s="22"/>
      <c r="K9" s="22"/>
      <c r="L9" s="22"/>
    </row>
    <row r="10" spans="1:72" ht="12" customHeight="1" x14ac:dyDescent="0.25">
      <c r="D10" s="24"/>
      <c r="E10" s="24"/>
      <c r="K10" s="2" t="s">
        <v>10</v>
      </c>
    </row>
    <row r="11" spans="1:72" ht="15" customHeight="1" x14ac:dyDescent="0.25">
      <c r="D11" s="64" t="s">
        <v>34</v>
      </c>
      <c r="E11" s="66" t="s">
        <v>11</v>
      </c>
      <c r="F11" s="66" t="s">
        <v>12</v>
      </c>
      <c r="G11" s="66" t="s">
        <v>2</v>
      </c>
      <c r="H11" s="66" t="s">
        <v>13</v>
      </c>
      <c r="I11" s="66"/>
      <c r="J11" s="66"/>
      <c r="K11" s="68"/>
    </row>
    <row r="12" spans="1:72" ht="15" customHeight="1" x14ac:dyDescent="0.25">
      <c r="D12" s="65"/>
      <c r="E12" s="67"/>
      <c r="F12" s="67"/>
      <c r="G12" s="67"/>
      <c r="H12" s="25" t="s">
        <v>0</v>
      </c>
      <c r="I12" s="25" t="s">
        <v>14</v>
      </c>
      <c r="J12" s="25" t="s">
        <v>15</v>
      </c>
      <c r="K12" s="26" t="s">
        <v>1</v>
      </c>
    </row>
    <row r="13" spans="1:72" ht="12" customHeight="1" x14ac:dyDescent="0.25">
      <c r="D13" s="27">
        <v>0</v>
      </c>
      <c r="E13" s="27">
        <v>1</v>
      </c>
      <c r="F13" s="27">
        <v>2</v>
      </c>
      <c r="G13" s="27">
        <v>3</v>
      </c>
      <c r="H13" s="27">
        <v>4</v>
      </c>
      <c r="I13" s="27">
        <v>5</v>
      </c>
      <c r="J13" s="27">
        <v>6</v>
      </c>
      <c r="K13" s="27">
        <v>7</v>
      </c>
    </row>
    <row r="14" spans="1:72" s="28" customFormat="1" ht="15" customHeight="1" x14ac:dyDescent="0.25">
      <c r="C14" s="29"/>
      <c r="D14" s="57" t="s">
        <v>35</v>
      </c>
      <c r="E14" s="58"/>
      <c r="F14" s="58"/>
      <c r="G14" s="58"/>
      <c r="H14" s="58"/>
      <c r="I14" s="58"/>
      <c r="J14" s="58"/>
      <c r="K14" s="59"/>
    </row>
    <row r="15" spans="1:72" s="28" customFormat="1" ht="15" customHeight="1" x14ac:dyDescent="0.25">
      <c r="C15" s="29"/>
      <c r="D15" s="30" t="s">
        <v>36</v>
      </c>
      <c r="E15" s="3" t="s">
        <v>37</v>
      </c>
      <c r="F15" s="1">
        <v>10</v>
      </c>
      <c r="G15" s="31">
        <f>SUM(H15:K15)</f>
        <v>52962.81</v>
      </c>
      <c r="H15" s="31">
        <f>H16+H17+H21+H24</f>
        <v>0</v>
      </c>
      <c r="I15" s="31">
        <f>I16+I17+I21+I24</f>
        <v>0</v>
      </c>
      <c r="J15" s="31">
        <f>J16+J17+J21+J24</f>
        <v>52962.81</v>
      </c>
      <c r="K15" s="31">
        <f>K16+K17+K21+K24</f>
        <v>0</v>
      </c>
    </row>
    <row r="16" spans="1:72" s="28" customFormat="1" ht="15" customHeight="1" x14ac:dyDescent="0.25">
      <c r="C16" s="29"/>
      <c r="D16" s="30" t="s">
        <v>38</v>
      </c>
      <c r="E16" s="4" t="s">
        <v>39</v>
      </c>
      <c r="F16" s="1">
        <v>20</v>
      </c>
      <c r="G16" s="31">
        <f t="shared" ref="G16:G51" si="0">SUM(H16:K16)</f>
        <v>47432.739000000001</v>
      </c>
      <c r="H16" s="5"/>
      <c r="I16" s="5"/>
      <c r="J16" s="5">
        <f>4958.065+4652.527+4563.583+3902.604+3522.816+2754.912+3419.992+3066.033+3407.247+4037.146+4213.893+4933.921</f>
        <v>47432.739000000001</v>
      </c>
      <c r="K16" s="5"/>
    </row>
    <row r="17" spans="3:11" s="28" customFormat="1" ht="15" customHeight="1" x14ac:dyDescent="0.25">
      <c r="C17" s="29"/>
      <c r="D17" s="30" t="s">
        <v>40</v>
      </c>
      <c r="E17" s="4" t="s">
        <v>41</v>
      </c>
      <c r="F17" s="1">
        <v>30</v>
      </c>
      <c r="G17" s="31">
        <f t="shared" si="0"/>
        <v>5530.0709999999999</v>
      </c>
      <c r="H17" s="31">
        <f>SUM(H18:H20)</f>
        <v>0</v>
      </c>
      <c r="I17" s="31">
        <f>SUM(I18:I20)</f>
        <v>0</v>
      </c>
      <c r="J17" s="31">
        <f>SUM(J18:J20)</f>
        <v>5530.0709999999999</v>
      </c>
      <c r="K17" s="31">
        <f>SUM(K18:K20)</f>
        <v>0</v>
      </c>
    </row>
    <row r="18" spans="3:11" s="28" customFormat="1" hidden="1" x14ac:dyDescent="0.25">
      <c r="C18" s="29"/>
      <c r="D18" s="33" t="s">
        <v>42</v>
      </c>
      <c r="E18" s="34"/>
      <c r="F18" s="35" t="s">
        <v>43</v>
      </c>
      <c r="G18" s="36"/>
      <c r="H18" s="36"/>
      <c r="I18" s="36"/>
      <c r="J18" s="36"/>
      <c r="K18" s="36"/>
    </row>
    <row r="19" spans="3:11" s="28" customFormat="1" ht="15" customHeight="1" x14ac:dyDescent="0.25">
      <c r="C19" s="37" t="s">
        <v>53</v>
      </c>
      <c r="D19" s="38" t="s">
        <v>317</v>
      </c>
      <c r="E19" s="39" t="s">
        <v>318</v>
      </c>
      <c r="F19" s="6">
        <v>31</v>
      </c>
      <c r="G19" s="40">
        <f>SUM(H19:K19)</f>
        <v>5530.0709999999999</v>
      </c>
      <c r="H19" s="7"/>
      <c r="I19" s="7"/>
      <c r="J19" s="7">
        <f>391.913+315.661+318.489+331.704+370.422+875.928+369.109+693.245+695.695+387.481+340.65+439.774</f>
        <v>5530.0709999999999</v>
      </c>
      <c r="K19" s="8"/>
    </row>
    <row r="20" spans="3:11" s="28" customFormat="1" ht="15" customHeight="1" x14ac:dyDescent="0.25">
      <c r="C20" s="29"/>
      <c r="D20" s="41"/>
      <c r="E20" s="42" t="s">
        <v>44</v>
      </c>
      <c r="F20" s="43"/>
      <c r="G20" s="43"/>
      <c r="H20" s="43"/>
      <c r="I20" s="43"/>
      <c r="J20" s="43"/>
      <c r="K20" s="44"/>
    </row>
    <row r="21" spans="3:11" s="28" customFormat="1" ht="15" customHeight="1" x14ac:dyDescent="0.25">
      <c r="C21" s="29"/>
      <c r="D21" s="30" t="s">
        <v>45</v>
      </c>
      <c r="E21" s="4" t="s">
        <v>46</v>
      </c>
      <c r="F21" s="1" t="s">
        <v>47</v>
      </c>
      <c r="G21" s="31">
        <f t="shared" si="0"/>
        <v>0</v>
      </c>
      <c r="H21" s="31">
        <f>SUM(H22:H23)</f>
        <v>0</v>
      </c>
      <c r="I21" s="31">
        <f>SUM(I22:I23)</f>
        <v>0</v>
      </c>
      <c r="J21" s="31">
        <f>SUM(J22:J23)</f>
        <v>0</v>
      </c>
      <c r="K21" s="31">
        <f>SUM(K22:K23)</f>
        <v>0</v>
      </c>
    </row>
    <row r="22" spans="3:11" s="28" customFormat="1" hidden="1" x14ac:dyDescent="0.25">
      <c r="C22" s="29"/>
      <c r="D22" s="33" t="s">
        <v>48</v>
      </c>
      <c r="E22" s="34"/>
      <c r="F22" s="35" t="s">
        <v>47</v>
      </c>
      <c r="G22" s="36"/>
      <c r="H22" s="36"/>
      <c r="I22" s="36"/>
      <c r="J22" s="36"/>
      <c r="K22" s="36"/>
    </row>
    <row r="23" spans="3:11" s="28" customFormat="1" ht="15" customHeight="1" x14ac:dyDescent="0.25">
      <c r="C23" s="29"/>
      <c r="D23" s="41"/>
      <c r="E23" s="42" t="s">
        <v>44</v>
      </c>
      <c r="F23" s="43"/>
      <c r="G23" s="43"/>
      <c r="H23" s="43"/>
      <c r="I23" s="43"/>
      <c r="J23" s="43"/>
      <c r="K23" s="44"/>
    </row>
    <row r="24" spans="3:11" s="28" customFormat="1" ht="15" customHeight="1" x14ac:dyDescent="0.25">
      <c r="C24" s="29"/>
      <c r="D24" s="30" t="s">
        <v>49</v>
      </c>
      <c r="E24" s="4" t="s">
        <v>50</v>
      </c>
      <c r="F24" s="1" t="s">
        <v>51</v>
      </c>
      <c r="G24" s="31">
        <f t="shared" si="0"/>
        <v>0</v>
      </c>
      <c r="H24" s="31">
        <f>SUM(H25:H26)</f>
        <v>0</v>
      </c>
      <c r="I24" s="31">
        <f>SUM(I25:I26)</f>
        <v>0</v>
      </c>
      <c r="J24" s="31">
        <f>SUM(J25:J26)</f>
        <v>0</v>
      </c>
      <c r="K24" s="31">
        <f>SUM(K25:K26)</f>
        <v>0</v>
      </c>
    </row>
    <row r="25" spans="3:11" s="28" customFormat="1" x14ac:dyDescent="0.25">
      <c r="C25" s="29"/>
      <c r="D25" s="33" t="s">
        <v>52</v>
      </c>
      <c r="E25" s="34"/>
      <c r="F25" s="35" t="s">
        <v>51</v>
      </c>
      <c r="G25" s="36"/>
      <c r="H25" s="36"/>
      <c r="I25" s="36"/>
      <c r="J25" s="36"/>
      <c r="K25" s="36"/>
    </row>
    <row r="26" spans="3:11" s="28" customFormat="1" ht="15" customHeight="1" x14ac:dyDescent="0.25">
      <c r="C26" s="29"/>
      <c r="D26" s="41"/>
      <c r="E26" s="42" t="s">
        <v>44</v>
      </c>
      <c r="F26" s="43"/>
      <c r="G26" s="43"/>
      <c r="H26" s="43"/>
      <c r="I26" s="43"/>
      <c r="J26" s="43"/>
      <c r="K26" s="44"/>
    </row>
    <row r="27" spans="3:11" s="28" customFormat="1" ht="15" customHeight="1" x14ac:dyDescent="0.25">
      <c r="C27" s="29"/>
      <c r="D27" s="30" t="s">
        <v>54</v>
      </c>
      <c r="E27" s="3" t="s">
        <v>16</v>
      </c>
      <c r="F27" s="1" t="s">
        <v>55</v>
      </c>
      <c r="G27" s="31">
        <f t="shared" si="0"/>
        <v>0</v>
      </c>
      <c r="H27" s="31">
        <f>H29+H30+H31</f>
        <v>0</v>
      </c>
      <c r="I27" s="31">
        <f>I28+I30+I31</f>
        <v>0</v>
      </c>
      <c r="J27" s="31">
        <f>J28+J29+J31</f>
        <v>0</v>
      </c>
      <c r="K27" s="31">
        <f>K28+K29+K30</f>
        <v>0</v>
      </c>
    </row>
    <row r="28" spans="3:11" s="28" customFormat="1" ht="15" customHeight="1" x14ac:dyDescent="0.25">
      <c r="C28" s="29"/>
      <c r="D28" s="30" t="s">
        <v>56</v>
      </c>
      <c r="E28" s="4" t="s">
        <v>0</v>
      </c>
      <c r="F28" s="1" t="s">
        <v>57</v>
      </c>
      <c r="G28" s="31">
        <f t="shared" si="0"/>
        <v>0</v>
      </c>
      <c r="H28" s="45"/>
      <c r="I28" s="5"/>
      <c r="J28" s="5"/>
      <c r="K28" s="5"/>
    </row>
    <row r="29" spans="3:11" s="28" customFormat="1" ht="15" customHeight="1" x14ac:dyDescent="0.25">
      <c r="C29" s="29"/>
      <c r="D29" s="30" t="s">
        <v>58</v>
      </c>
      <c r="E29" s="4" t="s">
        <v>14</v>
      </c>
      <c r="F29" s="1" t="s">
        <v>59</v>
      </c>
      <c r="G29" s="31">
        <f t="shared" si="0"/>
        <v>0</v>
      </c>
      <c r="H29" s="5"/>
      <c r="I29" s="45"/>
      <c r="J29" s="5"/>
      <c r="K29" s="5"/>
    </row>
    <row r="30" spans="3:11" s="28" customFormat="1" ht="15" customHeight="1" x14ac:dyDescent="0.25">
      <c r="C30" s="29"/>
      <c r="D30" s="30" t="s">
        <v>60</v>
      </c>
      <c r="E30" s="4" t="s">
        <v>15</v>
      </c>
      <c r="F30" s="1" t="s">
        <v>61</v>
      </c>
      <c r="G30" s="31">
        <f t="shared" si="0"/>
        <v>0</v>
      </c>
      <c r="H30" s="5"/>
      <c r="I30" s="5"/>
      <c r="J30" s="45"/>
      <c r="K30" s="5"/>
    </row>
    <row r="31" spans="3:11" s="28" customFormat="1" ht="15" customHeight="1" x14ac:dyDescent="0.25">
      <c r="C31" s="29"/>
      <c r="D31" s="30" t="s">
        <v>62</v>
      </c>
      <c r="E31" s="4" t="s">
        <v>17</v>
      </c>
      <c r="F31" s="1" t="s">
        <v>63</v>
      </c>
      <c r="G31" s="31">
        <f t="shared" si="0"/>
        <v>0</v>
      </c>
      <c r="H31" s="5"/>
      <c r="I31" s="5"/>
      <c r="J31" s="5"/>
      <c r="K31" s="45"/>
    </row>
    <row r="32" spans="3:11" s="28" customFormat="1" ht="15" customHeight="1" x14ac:dyDescent="0.25">
      <c r="C32" s="29"/>
      <c r="D32" s="30" t="s">
        <v>64</v>
      </c>
      <c r="E32" s="9" t="s">
        <v>20</v>
      </c>
      <c r="F32" s="1" t="s">
        <v>65</v>
      </c>
      <c r="G32" s="31">
        <f t="shared" si="0"/>
        <v>0</v>
      </c>
      <c r="H32" s="5"/>
      <c r="I32" s="5"/>
      <c r="J32" s="5"/>
      <c r="K32" s="5"/>
    </row>
    <row r="33" spans="3:11" s="28" customFormat="1" ht="15" customHeight="1" x14ac:dyDescent="0.25">
      <c r="C33" s="29"/>
      <c r="D33" s="30" t="s">
        <v>66</v>
      </c>
      <c r="E33" s="3" t="s">
        <v>67</v>
      </c>
      <c r="F33" s="1" t="s">
        <v>68</v>
      </c>
      <c r="G33" s="31">
        <f t="shared" si="0"/>
        <v>47496.119000000006</v>
      </c>
      <c r="H33" s="31">
        <f>H34+H36+H39+H43</f>
        <v>0</v>
      </c>
      <c r="I33" s="31">
        <f>I34+I36+I39+I43</f>
        <v>0</v>
      </c>
      <c r="J33" s="31">
        <f>J34+J36+J39+J43</f>
        <v>14115.389999999998</v>
      </c>
      <c r="K33" s="31">
        <f>K34+K36+K39+K43</f>
        <v>33380.729000000007</v>
      </c>
    </row>
    <row r="34" spans="3:11" s="28" customFormat="1" ht="22.5" x14ac:dyDescent="0.25">
      <c r="C34" s="29"/>
      <c r="D34" s="30" t="s">
        <v>69</v>
      </c>
      <c r="E34" s="4" t="s">
        <v>70</v>
      </c>
      <c r="F34" s="1" t="s">
        <v>71</v>
      </c>
      <c r="G34" s="31">
        <f t="shared" si="0"/>
        <v>14646.557999999999</v>
      </c>
      <c r="H34" s="5"/>
      <c r="I34" s="5"/>
      <c r="J34" s="5">
        <f>1030.482+960.52+991.543+833.901+663.821+684.227+655.545+683.386+726.822+827.065+892.836+936.899</f>
        <v>9887.0469999999987</v>
      </c>
      <c r="K34" s="5">
        <f>433.792+477.399+402.196+413.892+354.218+362.37+338.128+303.591+372+411.601+428.856+461.468</f>
        <v>4759.5110000000004</v>
      </c>
    </row>
    <row r="35" spans="3:11" s="28" customFormat="1" ht="15" customHeight="1" x14ac:dyDescent="0.25">
      <c r="C35" s="29"/>
      <c r="D35" s="30" t="s">
        <v>72</v>
      </c>
      <c r="E35" s="10" t="s">
        <v>73</v>
      </c>
      <c r="F35" s="1" t="s">
        <v>74</v>
      </c>
      <c r="G35" s="31">
        <f t="shared" si="0"/>
        <v>0</v>
      </c>
      <c r="H35" s="5"/>
      <c r="I35" s="5"/>
      <c r="J35" s="5"/>
      <c r="K35" s="5"/>
    </row>
    <row r="36" spans="3:11" s="28" customFormat="1" ht="15" customHeight="1" x14ac:dyDescent="0.25">
      <c r="C36" s="29"/>
      <c r="D36" s="30" t="s">
        <v>75</v>
      </c>
      <c r="E36" s="4" t="s">
        <v>76</v>
      </c>
      <c r="F36" s="1" t="s">
        <v>77</v>
      </c>
      <c r="G36" s="31">
        <f t="shared" si="0"/>
        <v>6027.1679999999997</v>
      </c>
      <c r="H36" s="5"/>
      <c r="I36" s="5"/>
      <c r="J36" s="5">
        <f>303.605+277.959+287.907+279.453+277.808+299.126+312.4+295.816+278.407+287.73+277.367+314.722</f>
        <v>3492.3</v>
      </c>
      <c r="K36" s="5">
        <f>228.286+226.937+216.45+197.643+202.107+215.677+226.876+215.807+195.111+196.659+191.826+221.489</f>
        <v>2534.8679999999999</v>
      </c>
    </row>
    <row r="37" spans="3:11" s="28" customFormat="1" ht="15" customHeight="1" x14ac:dyDescent="0.25">
      <c r="C37" s="29"/>
      <c r="D37" s="30" t="s">
        <v>78</v>
      </c>
      <c r="E37" s="10" t="s">
        <v>79</v>
      </c>
      <c r="F37" s="1" t="s">
        <v>80</v>
      </c>
      <c r="G37" s="31">
        <f t="shared" si="0"/>
        <v>0</v>
      </c>
      <c r="H37" s="5"/>
      <c r="I37" s="5"/>
      <c r="J37" s="5"/>
      <c r="K37" s="5"/>
    </row>
    <row r="38" spans="3:11" s="28" customFormat="1" ht="15" customHeight="1" x14ac:dyDescent="0.25">
      <c r="C38" s="29"/>
      <c r="D38" s="30" t="s">
        <v>81</v>
      </c>
      <c r="E38" s="11" t="s">
        <v>73</v>
      </c>
      <c r="F38" s="1" t="s">
        <v>82</v>
      </c>
      <c r="G38" s="31">
        <f t="shared" si="0"/>
        <v>0</v>
      </c>
      <c r="H38" s="5"/>
      <c r="I38" s="5"/>
      <c r="J38" s="5"/>
      <c r="K38" s="5"/>
    </row>
    <row r="39" spans="3:11" s="28" customFormat="1" ht="15" customHeight="1" x14ac:dyDescent="0.25">
      <c r="C39" s="29"/>
      <c r="D39" s="30" t="s">
        <v>83</v>
      </c>
      <c r="E39" s="4" t="s">
        <v>84</v>
      </c>
      <c r="F39" s="1" t="s">
        <v>85</v>
      </c>
      <c r="G39" s="31">
        <f t="shared" si="0"/>
        <v>736.04300000000012</v>
      </c>
      <c r="H39" s="31">
        <f>SUM(H40:H42)</f>
        <v>0</v>
      </c>
      <c r="I39" s="31">
        <f>SUM(I40:I42)</f>
        <v>0</v>
      </c>
      <c r="J39" s="31">
        <f>SUM(J40:J42)</f>
        <v>736.04300000000012</v>
      </c>
      <c r="K39" s="31">
        <f>SUM(K40:K42)</f>
        <v>0</v>
      </c>
    </row>
    <row r="40" spans="3:11" s="28" customFormat="1" hidden="1" x14ac:dyDescent="0.25">
      <c r="C40" s="29"/>
      <c r="D40" s="33" t="s">
        <v>86</v>
      </c>
      <c r="E40" s="34"/>
      <c r="F40" s="35" t="s">
        <v>85</v>
      </c>
      <c r="G40" s="36"/>
      <c r="H40" s="36"/>
      <c r="I40" s="36"/>
      <c r="J40" s="36"/>
      <c r="K40" s="36"/>
    </row>
    <row r="41" spans="3:11" s="28" customFormat="1" ht="15" customHeight="1" x14ac:dyDescent="0.25">
      <c r="C41" s="37" t="s">
        <v>53</v>
      </c>
      <c r="D41" s="38" t="s">
        <v>319</v>
      </c>
      <c r="E41" s="39" t="s">
        <v>320</v>
      </c>
      <c r="F41" s="6">
        <v>751</v>
      </c>
      <c r="G41" s="40">
        <f>SUM(H41:K41)</f>
        <v>736.04300000000012</v>
      </c>
      <c r="H41" s="7"/>
      <c r="I41" s="7"/>
      <c r="J41" s="7">
        <f>46.633+59.027+53.314+70.674+59.87+65.942+84.034+54.647+70.918+68.007+51.609+51.368</f>
        <v>736.04300000000012</v>
      </c>
      <c r="K41" s="8"/>
    </row>
    <row r="42" spans="3:11" s="28" customFormat="1" ht="15" customHeight="1" x14ac:dyDescent="0.25">
      <c r="C42" s="29"/>
      <c r="D42" s="46"/>
      <c r="E42" s="42" t="s">
        <v>44</v>
      </c>
      <c r="F42" s="43"/>
      <c r="G42" s="43"/>
      <c r="H42" s="43"/>
      <c r="I42" s="43"/>
      <c r="J42" s="43"/>
      <c r="K42" s="44"/>
    </row>
    <row r="43" spans="3:11" s="28" customFormat="1" ht="15" customHeight="1" x14ac:dyDescent="0.25">
      <c r="C43" s="29"/>
      <c r="D43" s="30" t="s">
        <v>87</v>
      </c>
      <c r="E43" s="4" t="s">
        <v>88</v>
      </c>
      <c r="F43" s="1" t="s">
        <v>89</v>
      </c>
      <c r="G43" s="31">
        <f t="shared" si="0"/>
        <v>26086.350000000002</v>
      </c>
      <c r="H43" s="5"/>
      <c r="I43" s="5"/>
      <c r="J43" s="5"/>
      <c r="K43" s="5">
        <f>2800.79+2716.439+2198.285+2201.321+1991.53+1747.024+1843.068+1911.576+1997.578+2070.064+2313.742+2294.933</f>
        <v>26086.350000000002</v>
      </c>
    </row>
    <row r="44" spans="3:11" s="28" customFormat="1" ht="15" customHeight="1" x14ac:dyDescent="0.25">
      <c r="C44" s="29"/>
      <c r="D44" s="30" t="s">
        <v>90</v>
      </c>
      <c r="E44" s="3" t="s">
        <v>18</v>
      </c>
      <c r="F44" s="1" t="s">
        <v>91</v>
      </c>
      <c r="G44" s="31">
        <f t="shared" si="0"/>
        <v>0</v>
      </c>
      <c r="H44" s="5"/>
      <c r="I44" s="5"/>
      <c r="J44" s="5"/>
      <c r="K44" s="5"/>
    </row>
    <row r="45" spans="3:11" s="28" customFormat="1" ht="15" customHeight="1" x14ac:dyDescent="0.25">
      <c r="C45" s="29"/>
      <c r="D45" s="30" t="s">
        <v>92</v>
      </c>
      <c r="E45" s="3" t="s">
        <v>19</v>
      </c>
      <c r="F45" s="1" t="s">
        <v>93</v>
      </c>
      <c r="G45" s="31">
        <f t="shared" si="0"/>
        <v>0</v>
      </c>
      <c r="H45" s="5"/>
      <c r="I45" s="5"/>
      <c r="J45" s="5"/>
      <c r="K45" s="5"/>
    </row>
    <row r="46" spans="3:11" s="28" customFormat="1" ht="15" customHeight="1" x14ac:dyDescent="0.25">
      <c r="C46" s="29"/>
      <c r="D46" s="30" t="s">
        <v>94</v>
      </c>
      <c r="E46" s="3" t="s">
        <v>21</v>
      </c>
      <c r="F46" s="1" t="s">
        <v>95</v>
      </c>
      <c r="G46" s="31">
        <f t="shared" si="0"/>
        <v>0</v>
      </c>
      <c r="H46" s="5"/>
      <c r="I46" s="5"/>
      <c r="J46" s="5"/>
      <c r="K46" s="5"/>
    </row>
    <row r="47" spans="3:11" s="28" customFormat="1" ht="15" customHeight="1" x14ac:dyDescent="0.25">
      <c r="C47" s="29"/>
      <c r="D47" s="30" t="s">
        <v>96</v>
      </c>
      <c r="E47" s="3" t="s">
        <v>97</v>
      </c>
      <c r="F47" s="1" t="s">
        <v>98</v>
      </c>
      <c r="G47" s="31">
        <f t="shared" si="0"/>
        <v>5466.6910000000007</v>
      </c>
      <c r="H47" s="5"/>
      <c r="I47" s="5"/>
      <c r="J47" s="5">
        <f>506.39+249.907+428.3+237.424+343.031+256.474+329.05+294.455+407.8+434.9+398.307+491.4</f>
        <v>4377.4380000000001</v>
      </c>
      <c r="K47" s="5">
        <f>304.077+0.853+54.306+128.601+601.416</f>
        <v>1089.2530000000002</v>
      </c>
    </row>
    <row r="48" spans="3:11" s="28" customFormat="1" ht="15" customHeight="1" x14ac:dyDescent="0.25">
      <c r="C48" s="29"/>
      <c r="D48" s="30" t="s">
        <v>99</v>
      </c>
      <c r="E48" s="4" t="s">
        <v>100</v>
      </c>
      <c r="F48" s="1" t="s">
        <v>101</v>
      </c>
      <c r="G48" s="31">
        <f t="shared" si="0"/>
        <v>0</v>
      </c>
      <c r="H48" s="5"/>
      <c r="I48" s="5"/>
      <c r="J48" s="5"/>
      <c r="K48" s="5"/>
    </row>
    <row r="49" spans="3:11" s="28" customFormat="1" ht="15" customHeight="1" x14ac:dyDescent="0.25">
      <c r="C49" s="29"/>
      <c r="D49" s="30" t="s">
        <v>102</v>
      </c>
      <c r="E49" s="3" t="s">
        <v>103</v>
      </c>
      <c r="F49" s="1" t="s">
        <v>104</v>
      </c>
      <c r="G49" s="31">
        <f t="shared" si="0"/>
        <v>5131.2999999999993</v>
      </c>
      <c r="H49" s="5"/>
      <c r="I49" s="5"/>
      <c r="J49" s="5">
        <f>509.2+461.2+428.3+409.1+377.2+383.4+346+402.7+407.8+434.8+480.2+491.4</f>
        <v>5131.2999999999993</v>
      </c>
      <c r="K49" s="5"/>
    </row>
    <row r="50" spans="3:11" s="28" customFormat="1" ht="22.5" x14ac:dyDescent="0.25">
      <c r="C50" s="29"/>
      <c r="D50" s="30" t="s">
        <v>105</v>
      </c>
      <c r="E50" s="9" t="s">
        <v>106</v>
      </c>
      <c r="F50" s="1" t="s">
        <v>107</v>
      </c>
      <c r="G50" s="31">
        <f t="shared" si="0"/>
        <v>335.39100000000099</v>
      </c>
      <c r="H50" s="31">
        <f>H47-H49</f>
        <v>0</v>
      </c>
      <c r="I50" s="31">
        <f>I47-I49</f>
        <v>0</v>
      </c>
      <c r="J50" s="31">
        <f>J47-J49</f>
        <v>-753.86199999999917</v>
      </c>
      <c r="K50" s="31">
        <f>K47-K49</f>
        <v>1089.2530000000002</v>
      </c>
    </row>
    <row r="51" spans="3:11" s="28" customFormat="1" ht="15" customHeight="1" x14ac:dyDescent="0.25">
      <c r="C51" s="29"/>
      <c r="D51" s="30" t="s">
        <v>108</v>
      </c>
      <c r="E51" s="3" t="s">
        <v>22</v>
      </c>
      <c r="F51" s="1" t="s">
        <v>109</v>
      </c>
      <c r="G51" s="31">
        <f t="shared" si="0"/>
        <v>0</v>
      </c>
      <c r="H51" s="31">
        <f>(H15+H27+H32)-(H33+H44+H45+H46+H47)</f>
        <v>0</v>
      </c>
      <c r="I51" s="31">
        <f>(I15+I27+I32)-(I33+I44+I45+I46+I47)</f>
        <v>0</v>
      </c>
      <c r="J51" s="31">
        <f>(J15+J27+J32)-(J33+J44+J45+J46+J47)</f>
        <v>34469.982000000004</v>
      </c>
      <c r="K51" s="31">
        <f>(K15+K27+K32)-(K33+K44+K45+K46+K47)</f>
        <v>-34469.982000000004</v>
      </c>
    </row>
    <row r="52" spans="3:11" s="28" customFormat="1" ht="15" customHeight="1" x14ac:dyDescent="0.25">
      <c r="C52" s="29"/>
      <c r="D52" s="57" t="s">
        <v>110</v>
      </c>
      <c r="E52" s="58"/>
      <c r="F52" s="58"/>
      <c r="G52" s="58"/>
      <c r="H52" s="58"/>
      <c r="I52" s="58"/>
      <c r="J52" s="58"/>
      <c r="K52" s="59"/>
    </row>
    <row r="53" spans="3:11" s="28" customFormat="1" ht="15" customHeight="1" x14ac:dyDescent="0.25">
      <c r="C53" s="29"/>
      <c r="D53" s="30" t="s">
        <v>111</v>
      </c>
      <c r="E53" s="3" t="s">
        <v>37</v>
      </c>
      <c r="F53" s="1" t="s">
        <v>112</v>
      </c>
      <c r="G53" s="31">
        <f t="shared" ref="G53:G87" si="1">SUM(H53:K53)</f>
        <v>0</v>
      </c>
      <c r="H53" s="31">
        <f>H54+H55+H58+H61</f>
        <v>0</v>
      </c>
      <c r="I53" s="31">
        <f>I54+I55+I58+I61</f>
        <v>0</v>
      </c>
      <c r="J53" s="31">
        <f>J54+J55+J58+J61</f>
        <v>0</v>
      </c>
      <c r="K53" s="31">
        <f>K54+K55+K58+K61</f>
        <v>0</v>
      </c>
    </row>
    <row r="54" spans="3:11" s="28" customFormat="1" ht="15" customHeight="1" x14ac:dyDescent="0.25">
      <c r="C54" s="29"/>
      <c r="D54" s="30" t="s">
        <v>113</v>
      </c>
      <c r="E54" s="4" t="s">
        <v>39</v>
      </c>
      <c r="F54" s="1" t="s">
        <v>114</v>
      </c>
      <c r="G54" s="31">
        <f t="shared" si="1"/>
        <v>0</v>
      </c>
      <c r="H54" s="5"/>
      <c r="I54" s="5"/>
      <c r="J54" s="5"/>
      <c r="K54" s="5"/>
    </row>
    <row r="55" spans="3:11" s="28" customFormat="1" ht="15" customHeight="1" x14ac:dyDescent="0.25">
      <c r="C55" s="29"/>
      <c r="D55" s="30" t="s">
        <v>115</v>
      </c>
      <c r="E55" s="4" t="s">
        <v>41</v>
      </c>
      <c r="F55" s="1" t="s">
        <v>116</v>
      </c>
      <c r="G55" s="31">
        <f t="shared" si="1"/>
        <v>0</v>
      </c>
      <c r="H55" s="31">
        <f>SUM(H56:H57)</f>
        <v>0</v>
      </c>
      <c r="I55" s="31">
        <f>SUM(I56:I57)</f>
        <v>0</v>
      </c>
      <c r="J55" s="31">
        <f>SUM(J56:J57)</f>
        <v>0</v>
      </c>
      <c r="K55" s="31">
        <f>SUM(K56:K57)</f>
        <v>0</v>
      </c>
    </row>
    <row r="56" spans="3:11" s="28" customFormat="1" hidden="1" x14ac:dyDescent="0.25">
      <c r="C56" s="29"/>
      <c r="D56" s="33" t="s">
        <v>117</v>
      </c>
      <c r="E56" s="34"/>
      <c r="F56" s="35" t="s">
        <v>116</v>
      </c>
      <c r="G56" s="36"/>
      <c r="H56" s="36"/>
      <c r="I56" s="36"/>
      <c r="J56" s="36"/>
      <c r="K56" s="36"/>
    </row>
    <row r="57" spans="3:11" s="28" customFormat="1" ht="15" customHeight="1" x14ac:dyDescent="0.25">
      <c r="C57" s="29"/>
      <c r="D57" s="41"/>
      <c r="E57" s="42" t="s">
        <v>44</v>
      </c>
      <c r="F57" s="43"/>
      <c r="G57" s="43"/>
      <c r="H57" s="43"/>
      <c r="I57" s="43"/>
      <c r="J57" s="43"/>
      <c r="K57" s="44"/>
    </row>
    <row r="58" spans="3:11" s="28" customFormat="1" ht="15" customHeight="1" x14ac:dyDescent="0.25">
      <c r="C58" s="29"/>
      <c r="D58" s="30" t="s">
        <v>118</v>
      </c>
      <c r="E58" s="4" t="s">
        <v>46</v>
      </c>
      <c r="F58" s="1" t="s">
        <v>119</v>
      </c>
      <c r="G58" s="31">
        <f t="shared" si="1"/>
        <v>0</v>
      </c>
      <c r="H58" s="31">
        <f>SUM(H59:H60)</f>
        <v>0</v>
      </c>
      <c r="I58" s="31">
        <f>SUM(I59:I60)</f>
        <v>0</v>
      </c>
      <c r="J58" s="31">
        <f>SUM(J59:J60)</f>
        <v>0</v>
      </c>
      <c r="K58" s="31">
        <f>SUM(K59:K60)</f>
        <v>0</v>
      </c>
    </row>
    <row r="59" spans="3:11" s="28" customFormat="1" ht="12.75" hidden="1" customHeight="1" x14ac:dyDescent="0.25">
      <c r="C59" s="29"/>
      <c r="D59" s="33" t="s">
        <v>120</v>
      </c>
      <c r="E59" s="34"/>
      <c r="F59" s="35" t="s">
        <v>119</v>
      </c>
      <c r="G59" s="36"/>
      <c r="H59" s="36"/>
      <c r="I59" s="36"/>
      <c r="J59" s="36"/>
      <c r="K59" s="36"/>
    </row>
    <row r="60" spans="3:11" s="28" customFormat="1" ht="15" customHeight="1" x14ac:dyDescent="0.25">
      <c r="C60" s="29"/>
      <c r="D60" s="41"/>
      <c r="E60" s="42" t="s">
        <v>44</v>
      </c>
      <c r="F60" s="43"/>
      <c r="G60" s="43"/>
      <c r="H60" s="43"/>
      <c r="I60" s="43"/>
      <c r="J60" s="43"/>
      <c r="K60" s="44"/>
    </row>
    <row r="61" spans="3:11" s="28" customFormat="1" ht="15" customHeight="1" x14ac:dyDescent="0.25">
      <c r="C61" s="29"/>
      <c r="D61" s="30" t="s">
        <v>121</v>
      </c>
      <c r="E61" s="4" t="s">
        <v>50</v>
      </c>
      <c r="F61" s="1" t="s">
        <v>122</v>
      </c>
      <c r="G61" s="31">
        <f t="shared" si="1"/>
        <v>0</v>
      </c>
      <c r="H61" s="31">
        <f>SUM(H62:H63)</f>
        <v>0</v>
      </c>
      <c r="I61" s="31">
        <f>SUM(I62:I63)</f>
        <v>0</v>
      </c>
      <c r="J61" s="31">
        <f>SUM(J62:J63)</f>
        <v>0</v>
      </c>
      <c r="K61" s="31">
        <f>SUM(K62:K63)</f>
        <v>0</v>
      </c>
    </row>
    <row r="62" spans="3:11" s="28" customFormat="1" ht="12.75" hidden="1" customHeight="1" x14ac:dyDescent="0.25">
      <c r="C62" s="29"/>
      <c r="D62" s="33" t="s">
        <v>123</v>
      </c>
      <c r="E62" s="34"/>
      <c r="F62" s="35" t="s">
        <v>122</v>
      </c>
      <c r="G62" s="36"/>
      <c r="H62" s="36"/>
      <c r="I62" s="36"/>
      <c r="J62" s="36"/>
      <c r="K62" s="36"/>
    </row>
    <row r="63" spans="3:11" s="28" customFormat="1" ht="15" customHeight="1" x14ac:dyDescent="0.25">
      <c r="C63" s="29"/>
      <c r="D63" s="41"/>
      <c r="E63" s="42" t="s">
        <v>44</v>
      </c>
      <c r="F63" s="43"/>
      <c r="G63" s="43"/>
      <c r="H63" s="43"/>
      <c r="I63" s="43"/>
      <c r="J63" s="43"/>
      <c r="K63" s="44"/>
    </row>
    <row r="64" spans="3:11" s="28" customFormat="1" ht="15" customHeight="1" x14ac:dyDescent="0.25">
      <c r="C64" s="29"/>
      <c r="D64" s="30" t="s">
        <v>124</v>
      </c>
      <c r="E64" s="3" t="s">
        <v>16</v>
      </c>
      <c r="F64" s="1" t="s">
        <v>125</v>
      </c>
      <c r="G64" s="31">
        <f t="shared" si="1"/>
        <v>0</v>
      </c>
      <c r="H64" s="31">
        <f>H66+H67+H68</f>
        <v>0</v>
      </c>
      <c r="I64" s="31">
        <f>I65+I67+I68</f>
        <v>0</v>
      </c>
      <c r="J64" s="31">
        <f>J65+J66+J68</f>
        <v>0</v>
      </c>
      <c r="K64" s="31">
        <f>K65+K66+K67</f>
        <v>0</v>
      </c>
    </row>
    <row r="65" spans="3:11" s="28" customFormat="1" ht="15" customHeight="1" x14ac:dyDescent="0.25">
      <c r="C65" s="29"/>
      <c r="D65" s="30" t="s">
        <v>126</v>
      </c>
      <c r="E65" s="4" t="s">
        <v>0</v>
      </c>
      <c r="F65" s="1" t="s">
        <v>127</v>
      </c>
      <c r="G65" s="31">
        <f t="shared" si="1"/>
        <v>0</v>
      </c>
      <c r="H65" s="45"/>
      <c r="I65" s="5"/>
      <c r="J65" s="5"/>
      <c r="K65" s="5"/>
    </row>
    <row r="66" spans="3:11" s="28" customFormat="1" ht="15" customHeight="1" x14ac:dyDescent="0.25">
      <c r="C66" s="29"/>
      <c r="D66" s="30" t="s">
        <v>128</v>
      </c>
      <c r="E66" s="4" t="s">
        <v>14</v>
      </c>
      <c r="F66" s="1" t="s">
        <v>129</v>
      </c>
      <c r="G66" s="31">
        <f t="shared" si="1"/>
        <v>0</v>
      </c>
      <c r="H66" s="5"/>
      <c r="I66" s="47"/>
      <c r="J66" s="5"/>
      <c r="K66" s="5"/>
    </row>
    <row r="67" spans="3:11" s="28" customFormat="1" ht="15" customHeight="1" x14ac:dyDescent="0.25">
      <c r="C67" s="29"/>
      <c r="D67" s="30" t="s">
        <v>130</v>
      </c>
      <c r="E67" s="4" t="s">
        <v>15</v>
      </c>
      <c r="F67" s="1" t="s">
        <v>131</v>
      </c>
      <c r="G67" s="31">
        <f t="shared" si="1"/>
        <v>0</v>
      </c>
      <c r="H67" s="5"/>
      <c r="I67" s="5"/>
      <c r="J67" s="45"/>
      <c r="K67" s="5"/>
    </row>
    <row r="68" spans="3:11" s="28" customFormat="1" ht="15" customHeight="1" x14ac:dyDescent="0.25">
      <c r="C68" s="29"/>
      <c r="D68" s="30" t="s">
        <v>132</v>
      </c>
      <c r="E68" s="4" t="s">
        <v>17</v>
      </c>
      <c r="F68" s="1" t="s">
        <v>133</v>
      </c>
      <c r="G68" s="31">
        <f t="shared" si="1"/>
        <v>0</v>
      </c>
      <c r="H68" s="5"/>
      <c r="I68" s="5"/>
      <c r="J68" s="5"/>
      <c r="K68" s="45"/>
    </row>
    <row r="69" spans="3:11" s="28" customFormat="1" ht="15" customHeight="1" x14ac:dyDescent="0.25">
      <c r="C69" s="29"/>
      <c r="D69" s="30" t="s">
        <v>134</v>
      </c>
      <c r="E69" s="9" t="s">
        <v>20</v>
      </c>
      <c r="F69" s="1" t="s">
        <v>135</v>
      </c>
      <c r="G69" s="31">
        <f t="shared" si="1"/>
        <v>0</v>
      </c>
      <c r="H69" s="5"/>
      <c r="I69" s="5"/>
      <c r="J69" s="5"/>
      <c r="K69" s="5"/>
    </row>
    <row r="70" spans="3:11" s="28" customFormat="1" ht="15" customHeight="1" x14ac:dyDescent="0.25">
      <c r="C70" s="29"/>
      <c r="D70" s="30" t="s">
        <v>136</v>
      </c>
      <c r="E70" s="3" t="s">
        <v>67</v>
      </c>
      <c r="F70" s="1" t="s">
        <v>137</v>
      </c>
      <c r="G70" s="31">
        <f t="shared" si="1"/>
        <v>0</v>
      </c>
      <c r="H70" s="31">
        <f>H71+H73+H76+H79</f>
        <v>0</v>
      </c>
      <c r="I70" s="31">
        <f>I71+I73+I76+I79</f>
        <v>0</v>
      </c>
      <c r="J70" s="31">
        <f>J71+J73+J76+J79</f>
        <v>0</v>
      </c>
      <c r="K70" s="31">
        <f>K71+K73+K76+K79</f>
        <v>0</v>
      </c>
    </row>
    <row r="71" spans="3:11" s="28" customFormat="1" ht="22.5" x14ac:dyDescent="0.25">
      <c r="C71" s="29"/>
      <c r="D71" s="30" t="s">
        <v>138</v>
      </c>
      <c r="E71" s="4" t="s">
        <v>70</v>
      </c>
      <c r="F71" s="1" t="s">
        <v>139</v>
      </c>
      <c r="G71" s="31">
        <f t="shared" si="1"/>
        <v>0</v>
      </c>
      <c r="H71" s="5"/>
      <c r="I71" s="5"/>
      <c r="J71" s="5"/>
      <c r="K71" s="5"/>
    </row>
    <row r="72" spans="3:11" s="28" customFormat="1" ht="15" customHeight="1" x14ac:dyDescent="0.25">
      <c r="C72" s="29"/>
      <c r="D72" s="30" t="s">
        <v>140</v>
      </c>
      <c r="E72" s="10" t="s">
        <v>73</v>
      </c>
      <c r="F72" s="1" t="s">
        <v>141</v>
      </c>
      <c r="G72" s="31">
        <f t="shared" si="1"/>
        <v>0</v>
      </c>
      <c r="H72" s="5"/>
      <c r="I72" s="5"/>
      <c r="J72" s="5"/>
      <c r="K72" s="5"/>
    </row>
    <row r="73" spans="3:11" s="28" customFormat="1" ht="15" customHeight="1" x14ac:dyDescent="0.25">
      <c r="C73" s="29"/>
      <c r="D73" s="30" t="s">
        <v>142</v>
      </c>
      <c r="E73" s="4" t="s">
        <v>76</v>
      </c>
      <c r="F73" s="1" t="s">
        <v>143</v>
      </c>
      <c r="G73" s="31">
        <f t="shared" si="1"/>
        <v>0</v>
      </c>
      <c r="H73" s="5"/>
      <c r="I73" s="5"/>
      <c r="J73" s="5"/>
      <c r="K73" s="5"/>
    </row>
    <row r="74" spans="3:11" s="28" customFormat="1" ht="15" customHeight="1" x14ac:dyDescent="0.25">
      <c r="C74" s="29"/>
      <c r="D74" s="30" t="s">
        <v>144</v>
      </c>
      <c r="E74" s="10" t="s">
        <v>79</v>
      </c>
      <c r="F74" s="1" t="s">
        <v>145</v>
      </c>
      <c r="G74" s="31">
        <f t="shared" si="1"/>
        <v>0</v>
      </c>
      <c r="H74" s="5"/>
      <c r="I74" s="5"/>
      <c r="J74" s="5"/>
      <c r="K74" s="5"/>
    </row>
    <row r="75" spans="3:11" s="28" customFormat="1" ht="15" customHeight="1" x14ac:dyDescent="0.25">
      <c r="C75" s="29"/>
      <c r="D75" s="30" t="s">
        <v>146</v>
      </c>
      <c r="E75" s="11" t="s">
        <v>73</v>
      </c>
      <c r="F75" s="1" t="s">
        <v>147</v>
      </c>
      <c r="G75" s="31">
        <f t="shared" si="1"/>
        <v>0</v>
      </c>
      <c r="H75" s="5"/>
      <c r="I75" s="5"/>
      <c r="J75" s="5"/>
      <c r="K75" s="5"/>
    </row>
    <row r="76" spans="3:11" s="28" customFormat="1" ht="15" customHeight="1" x14ac:dyDescent="0.25">
      <c r="C76" s="29"/>
      <c r="D76" s="30" t="s">
        <v>148</v>
      </c>
      <c r="E76" s="4" t="s">
        <v>84</v>
      </c>
      <c r="F76" s="1" t="s">
        <v>149</v>
      </c>
      <c r="G76" s="31">
        <f t="shared" si="1"/>
        <v>0</v>
      </c>
      <c r="H76" s="31">
        <f>SUM(H77:H78)</f>
        <v>0</v>
      </c>
      <c r="I76" s="31">
        <f>SUM(I77:I78)</f>
        <v>0</v>
      </c>
      <c r="J76" s="31">
        <f>SUM(J77:J78)</f>
        <v>0</v>
      </c>
      <c r="K76" s="31">
        <f>SUM(K77:K78)</f>
        <v>0</v>
      </c>
    </row>
    <row r="77" spans="3:11" s="28" customFormat="1" ht="12.75" hidden="1" customHeight="1" x14ac:dyDescent="0.25">
      <c r="C77" s="29"/>
      <c r="D77" s="33" t="s">
        <v>150</v>
      </c>
      <c r="E77" s="34"/>
      <c r="F77" s="35" t="s">
        <v>149</v>
      </c>
      <c r="G77" s="36"/>
      <c r="H77" s="36"/>
      <c r="I77" s="36"/>
      <c r="J77" s="36"/>
      <c r="K77" s="36"/>
    </row>
    <row r="78" spans="3:11" s="28" customFormat="1" ht="15" customHeight="1" x14ac:dyDescent="0.25">
      <c r="C78" s="29"/>
      <c r="D78" s="41"/>
      <c r="E78" s="42" t="s">
        <v>44</v>
      </c>
      <c r="F78" s="43"/>
      <c r="G78" s="43"/>
      <c r="H78" s="43"/>
      <c r="I78" s="43"/>
      <c r="J78" s="43"/>
      <c r="K78" s="44"/>
    </row>
    <row r="79" spans="3:11" s="28" customFormat="1" ht="15" customHeight="1" x14ac:dyDescent="0.25">
      <c r="C79" s="29"/>
      <c r="D79" s="30" t="s">
        <v>151</v>
      </c>
      <c r="E79" s="4" t="s">
        <v>88</v>
      </c>
      <c r="F79" s="1" t="s">
        <v>152</v>
      </c>
      <c r="G79" s="31">
        <f t="shared" si="1"/>
        <v>0</v>
      </c>
      <c r="H79" s="5"/>
      <c r="I79" s="5"/>
      <c r="J79" s="5"/>
      <c r="K79" s="5"/>
    </row>
    <row r="80" spans="3:11" s="28" customFormat="1" ht="15" customHeight="1" x14ac:dyDescent="0.25">
      <c r="C80" s="29"/>
      <c r="D80" s="30" t="s">
        <v>153</v>
      </c>
      <c r="E80" s="3" t="s">
        <v>18</v>
      </c>
      <c r="F80" s="1" t="s">
        <v>154</v>
      </c>
      <c r="G80" s="31">
        <f t="shared" si="1"/>
        <v>0</v>
      </c>
      <c r="H80" s="5"/>
      <c r="I80" s="5"/>
      <c r="J80" s="5"/>
      <c r="K80" s="5"/>
    </row>
    <row r="81" spans="3:11" s="28" customFormat="1" ht="15" customHeight="1" x14ac:dyDescent="0.25">
      <c r="C81" s="29"/>
      <c r="D81" s="30" t="s">
        <v>155</v>
      </c>
      <c r="E81" s="3" t="s">
        <v>19</v>
      </c>
      <c r="F81" s="1" t="s">
        <v>156</v>
      </c>
      <c r="G81" s="31">
        <f t="shared" si="1"/>
        <v>0</v>
      </c>
      <c r="H81" s="5"/>
      <c r="I81" s="5"/>
      <c r="J81" s="5"/>
      <c r="K81" s="5"/>
    </row>
    <row r="82" spans="3:11" s="28" customFormat="1" ht="15" customHeight="1" x14ac:dyDescent="0.25">
      <c r="C82" s="29"/>
      <c r="D82" s="30" t="s">
        <v>157</v>
      </c>
      <c r="E82" s="3" t="s">
        <v>21</v>
      </c>
      <c r="F82" s="1" t="s">
        <v>158</v>
      </c>
      <c r="G82" s="31">
        <f t="shared" si="1"/>
        <v>0</v>
      </c>
      <c r="H82" s="5"/>
      <c r="I82" s="5"/>
      <c r="J82" s="5"/>
      <c r="K82" s="5"/>
    </row>
    <row r="83" spans="3:11" s="28" customFormat="1" ht="15" customHeight="1" x14ac:dyDescent="0.25">
      <c r="C83" s="29"/>
      <c r="D83" s="30" t="s">
        <v>159</v>
      </c>
      <c r="E83" s="3" t="s">
        <v>97</v>
      </c>
      <c r="F83" s="1" t="s">
        <v>160</v>
      </c>
      <c r="G83" s="31">
        <f t="shared" si="1"/>
        <v>0</v>
      </c>
      <c r="H83" s="5"/>
      <c r="I83" s="5"/>
      <c r="J83" s="5"/>
      <c r="K83" s="5"/>
    </row>
    <row r="84" spans="3:11" s="28" customFormat="1" ht="15" customHeight="1" x14ac:dyDescent="0.25">
      <c r="C84" s="29"/>
      <c r="D84" s="30" t="s">
        <v>161</v>
      </c>
      <c r="E84" s="4" t="s">
        <v>162</v>
      </c>
      <c r="F84" s="1" t="s">
        <v>163</v>
      </c>
      <c r="G84" s="31">
        <f t="shared" si="1"/>
        <v>0</v>
      </c>
      <c r="H84" s="5"/>
      <c r="I84" s="5"/>
      <c r="J84" s="5"/>
      <c r="K84" s="5"/>
    </row>
    <row r="85" spans="3:11" s="28" customFormat="1" ht="15" customHeight="1" x14ac:dyDescent="0.25">
      <c r="C85" s="29"/>
      <c r="D85" s="30" t="s">
        <v>164</v>
      </c>
      <c r="E85" s="3" t="s">
        <v>103</v>
      </c>
      <c r="F85" s="1" t="s">
        <v>165</v>
      </c>
      <c r="G85" s="31">
        <f t="shared" si="1"/>
        <v>0</v>
      </c>
      <c r="H85" s="5"/>
      <c r="I85" s="5"/>
      <c r="J85" s="5"/>
      <c r="K85" s="5"/>
    </row>
    <row r="86" spans="3:11" s="28" customFormat="1" ht="22.5" x14ac:dyDescent="0.25">
      <c r="C86" s="29"/>
      <c r="D86" s="30" t="s">
        <v>166</v>
      </c>
      <c r="E86" s="9" t="s">
        <v>106</v>
      </c>
      <c r="F86" s="1" t="s">
        <v>167</v>
      </c>
      <c r="G86" s="31">
        <f t="shared" si="1"/>
        <v>0</v>
      </c>
      <c r="H86" s="31">
        <f>H83-H85</f>
        <v>0</v>
      </c>
      <c r="I86" s="31">
        <f>I83-I85</f>
        <v>0</v>
      </c>
      <c r="J86" s="31">
        <f>J83-J85</f>
        <v>0</v>
      </c>
      <c r="K86" s="31">
        <f>K83-K85</f>
        <v>0</v>
      </c>
    </row>
    <row r="87" spans="3:11" s="28" customFormat="1" ht="15" customHeight="1" x14ac:dyDescent="0.25">
      <c r="C87" s="29"/>
      <c r="D87" s="30" t="s">
        <v>168</v>
      </c>
      <c r="E87" s="3" t="s">
        <v>22</v>
      </c>
      <c r="F87" s="1" t="s">
        <v>169</v>
      </c>
      <c r="G87" s="31">
        <f t="shared" si="1"/>
        <v>0</v>
      </c>
      <c r="H87" s="31">
        <f>(H53+H64+H69)-(H70+H80+H81+H82+H83)</f>
        <v>0</v>
      </c>
      <c r="I87" s="31">
        <f>(I53+I64+I69)-(I70+I80+I81+I82+I83)</f>
        <v>0</v>
      </c>
      <c r="J87" s="31">
        <f>(J53+J64+J69)-(J70+J80+J81+J82+J83)</f>
        <v>0</v>
      </c>
      <c r="K87" s="31">
        <f>(K53+K64+K69)-(K70+K80+K81+K82+K83)</f>
        <v>0</v>
      </c>
    </row>
    <row r="88" spans="3:11" s="28" customFormat="1" ht="15" customHeight="1" x14ac:dyDescent="0.25">
      <c r="C88" s="29"/>
      <c r="D88" s="57" t="s">
        <v>170</v>
      </c>
      <c r="E88" s="58"/>
      <c r="F88" s="58"/>
      <c r="G88" s="58"/>
      <c r="H88" s="58"/>
      <c r="I88" s="58"/>
      <c r="J88" s="58"/>
      <c r="K88" s="59"/>
    </row>
    <row r="89" spans="3:11" s="28" customFormat="1" ht="15" customHeight="1" x14ac:dyDescent="0.25">
      <c r="C89" s="29"/>
      <c r="D89" s="30" t="s">
        <v>171</v>
      </c>
      <c r="E89" s="3" t="s">
        <v>23</v>
      </c>
      <c r="F89" s="1" t="s">
        <v>172</v>
      </c>
      <c r="G89" s="31">
        <f t="shared" ref="G89:G91" si="2">SUM(H89:K89)</f>
        <v>7.9365000000000006</v>
      </c>
      <c r="H89" s="5"/>
      <c r="I89" s="5"/>
      <c r="J89" s="5">
        <f>(8.028+7.845)/2</f>
        <v>7.9365000000000006</v>
      </c>
      <c r="K89" s="5"/>
    </row>
    <row r="90" spans="3:11" s="28" customFormat="1" ht="15" customHeight="1" x14ac:dyDescent="0.25">
      <c r="C90" s="29"/>
      <c r="D90" s="30" t="s">
        <v>173</v>
      </c>
      <c r="E90" s="3" t="s">
        <v>24</v>
      </c>
      <c r="F90" s="1" t="s">
        <v>174</v>
      </c>
      <c r="G90" s="31">
        <f t="shared" si="2"/>
        <v>41.8</v>
      </c>
      <c r="H90" s="5"/>
      <c r="I90" s="5"/>
      <c r="J90" s="5">
        <v>41.8</v>
      </c>
      <c r="K90" s="5"/>
    </row>
    <row r="91" spans="3:11" s="28" customFormat="1" ht="15" customHeight="1" x14ac:dyDescent="0.25">
      <c r="C91" s="29"/>
      <c r="D91" s="30" t="s">
        <v>175</v>
      </c>
      <c r="E91" s="3" t="s">
        <v>25</v>
      </c>
      <c r="F91" s="1" t="s">
        <v>176</v>
      </c>
      <c r="G91" s="31">
        <f t="shared" si="2"/>
        <v>0</v>
      </c>
      <c r="H91" s="5"/>
      <c r="I91" s="5"/>
      <c r="J91" s="5"/>
      <c r="K91" s="5"/>
    </row>
    <row r="92" spans="3:11" s="28" customFormat="1" ht="15" customHeight="1" x14ac:dyDescent="0.25">
      <c r="C92" s="29"/>
      <c r="D92" s="57" t="s">
        <v>177</v>
      </c>
      <c r="E92" s="58"/>
      <c r="F92" s="58"/>
      <c r="G92" s="58"/>
      <c r="H92" s="58"/>
      <c r="I92" s="58"/>
      <c r="J92" s="58"/>
      <c r="K92" s="59"/>
    </row>
    <row r="93" spans="3:11" s="28" customFormat="1" ht="15" customHeight="1" x14ac:dyDescent="0.25">
      <c r="C93" s="29"/>
      <c r="D93" s="30" t="s">
        <v>178</v>
      </c>
      <c r="E93" s="3" t="s">
        <v>179</v>
      </c>
      <c r="F93" s="1" t="s">
        <v>180</v>
      </c>
      <c r="G93" s="31">
        <f t="shared" ref="G93:G124" si="3">SUM(H93:K93)</f>
        <v>14646.557999999999</v>
      </c>
      <c r="H93" s="31">
        <f>SUM(H94:H95)</f>
        <v>0</v>
      </c>
      <c r="I93" s="31">
        <f>SUM(I94:I95)</f>
        <v>0</v>
      </c>
      <c r="J93" s="31">
        <f>SUM(J94:J95)</f>
        <v>9887.0469999999987</v>
      </c>
      <c r="K93" s="31">
        <f>SUM(K94:K95)</f>
        <v>4759.5110000000004</v>
      </c>
    </row>
    <row r="94" spans="3:11" ht="15" customHeight="1" x14ac:dyDescent="0.25">
      <c r="D94" s="48" t="s">
        <v>181</v>
      </c>
      <c r="E94" s="4" t="s">
        <v>26</v>
      </c>
      <c r="F94" s="1" t="s">
        <v>182</v>
      </c>
      <c r="G94" s="31">
        <f t="shared" si="3"/>
        <v>13565.480999999998</v>
      </c>
      <c r="H94" s="12"/>
      <c r="I94" s="12"/>
      <c r="J94" s="12">
        <f>J34-J98</f>
        <v>8829.5419999999976</v>
      </c>
      <c r="K94" s="12">
        <f>K34-K98</f>
        <v>4735.9390000000003</v>
      </c>
    </row>
    <row r="95" spans="3:11" ht="15" customHeight="1" x14ac:dyDescent="0.25">
      <c r="D95" s="48" t="s">
        <v>183</v>
      </c>
      <c r="E95" s="4" t="s">
        <v>184</v>
      </c>
      <c r="F95" s="1" t="s">
        <v>185</v>
      </c>
      <c r="G95" s="31">
        <f t="shared" si="3"/>
        <v>1081.077</v>
      </c>
      <c r="H95" s="49">
        <f>H98</f>
        <v>0</v>
      </c>
      <c r="I95" s="49">
        <f>I98</f>
        <v>0</v>
      </c>
      <c r="J95" s="49">
        <f>J98</f>
        <v>1057.5050000000001</v>
      </c>
      <c r="K95" s="49">
        <f>K98</f>
        <v>23.571999999999999</v>
      </c>
    </row>
    <row r="96" spans="3:11" ht="15" customHeight="1" x14ac:dyDescent="0.25">
      <c r="D96" s="48" t="s">
        <v>186</v>
      </c>
      <c r="E96" s="10" t="s">
        <v>187</v>
      </c>
      <c r="F96" s="1" t="s">
        <v>188</v>
      </c>
      <c r="G96" s="31">
        <f t="shared" si="3"/>
        <v>0.22735117142857142</v>
      </c>
      <c r="H96" s="12"/>
      <c r="I96" s="12"/>
      <c r="J96" s="12">
        <f>(0.341804+0.334476+0.325865+0.072231+0.05578+0.06517+0.24744+0.24871+0.25442+0.26166)/10</f>
        <v>0.2207556</v>
      </c>
      <c r="K96" s="12">
        <f>(0.006971+0.006898+0.0069+0.0065+0.0064+0.0065+0.006)/7</f>
        <v>6.5955714285714281E-3</v>
      </c>
    </row>
    <row r="97" spans="4:11" ht="15" customHeight="1" x14ac:dyDescent="0.25">
      <c r="D97" s="48" t="s">
        <v>189</v>
      </c>
      <c r="E97" s="11" t="s">
        <v>190</v>
      </c>
      <c r="F97" s="1" t="s">
        <v>191</v>
      </c>
      <c r="G97" s="31">
        <f t="shared" si="3"/>
        <v>0</v>
      </c>
      <c r="H97" s="12"/>
      <c r="I97" s="12"/>
      <c r="J97" s="12"/>
      <c r="K97" s="12"/>
    </row>
    <row r="98" spans="4:11" ht="15" customHeight="1" x14ac:dyDescent="0.25">
      <c r="D98" s="48" t="s">
        <v>192</v>
      </c>
      <c r="E98" s="10" t="s">
        <v>193</v>
      </c>
      <c r="F98" s="1" t="s">
        <v>194</v>
      </c>
      <c r="G98" s="31">
        <f t="shared" si="3"/>
        <v>1081.077</v>
      </c>
      <c r="H98" s="12"/>
      <c r="I98" s="12"/>
      <c r="J98" s="12">
        <f>160.893+129.789+115.283+78.744+53.288+27.901+14.793+46.82+75.844+100.638+117.348+136.164</f>
        <v>1057.5050000000001</v>
      </c>
      <c r="K98" s="12">
        <f>3.595+2.708+2.369+1.518+0.91+0.27+0.392+1.231+1.988+2.6+2.852+3.139</f>
        <v>23.571999999999999</v>
      </c>
    </row>
    <row r="99" spans="4:11" ht="15" customHeight="1" x14ac:dyDescent="0.25">
      <c r="D99" s="48" t="s">
        <v>195</v>
      </c>
      <c r="E99" s="3" t="s">
        <v>196</v>
      </c>
      <c r="F99" s="1" t="s">
        <v>197</v>
      </c>
      <c r="G99" s="31">
        <f t="shared" si="3"/>
        <v>32113.518000000007</v>
      </c>
      <c r="H99" s="49">
        <f>H100+H116</f>
        <v>0</v>
      </c>
      <c r="I99" s="49">
        <f>I100+I116</f>
        <v>0</v>
      </c>
      <c r="J99" s="49">
        <f>J100+J116</f>
        <v>3492.2999999999997</v>
      </c>
      <c r="K99" s="49">
        <f>K100+K116</f>
        <v>28621.218000000008</v>
      </c>
    </row>
    <row r="100" spans="4:11" ht="15" customHeight="1" x14ac:dyDescent="0.25">
      <c r="D100" s="48" t="s">
        <v>198</v>
      </c>
      <c r="E100" s="4" t="s">
        <v>199</v>
      </c>
      <c r="F100" s="1" t="s">
        <v>200</v>
      </c>
      <c r="G100" s="31">
        <f t="shared" si="3"/>
        <v>28006.401000000009</v>
      </c>
      <c r="H100" s="49">
        <f>H101+H102</f>
        <v>0</v>
      </c>
      <c r="I100" s="49">
        <f>I101+I102</f>
        <v>0</v>
      </c>
      <c r="J100" s="49">
        <f>J101+J102</f>
        <v>815.3950000000001</v>
      </c>
      <c r="K100" s="49">
        <f>K101+K102</f>
        <v>27191.006000000008</v>
      </c>
    </row>
    <row r="101" spans="4:11" ht="15" customHeight="1" x14ac:dyDescent="0.25">
      <c r="D101" s="48" t="s">
        <v>201</v>
      </c>
      <c r="E101" s="10" t="s">
        <v>202</v>
      </c>
      <c r="F101" s="1" t="s">
        <v>203</v>
      </c>
      <c r="G101" s="31">
        <f t="shared" si="3"/>
        <v>1920.0509999999999</v>
      </c>
      <c r="H101" s="12"/>
      <c r="I101" s="12"/>
      <c r="J101" s="12">
        <f>80.543+73.287+71.638+65.703+54.774+60.678+63.036+54.083+68.5+68.954+71.566+82.633</f>
        <v>815.3950000000001</v>
      </c>
      <c r="K101" s="12">
        <f>96.188+99.51+92.714+90.237+86.409+91.558+98.45+93.026+89.729+87.792+85.262+93.781</f>
        <v>1104.6559999999999</v>
      </c>
    </row>
    <row r="102" spans="4:11" ht="15" customHeight="1" x14ac:dyDescent="0.25">
      <c r="D102" s="48" t="s">
        <v>204</v>
      </c>
      <c r="E102" s="10" t="s">
        <v>205</v>
      </c>
      <c r="F102" s="1" t="s">
        <v>206</v>
      </c>
      <c r="G102" s="31">
        <f t="shared" si="3"/>
        <v>26086.350000000009</v>
      </c>
      <c r="H102" s="49">
        <f>H103+H106+H109+H112+H113+H114+H115</f>
        <v>0</v>
      </c>
      <c r="I102" s="49">
        <f>I103+I106+I109+I112+I113+I114+I115</f>
        <v>0</v>
      </c>
      <c r="J102" s="49">
        <f>J103+J106+J109+J112+J113+J114+J115</f>
        <v>0</v>
      </c>
      <c r="K102" s="49">
        <f>K103+K106+K109+K112+K113+K114+K115</f>
        <v>26086.350000000009</v>
      </c>
    </row>
    <row r="103" spans="4:11" ht="33.75" x14ac:dyDescent="0.25">
      <c r="D103" s="48" t="s">
        <v>207</v>
      </c>
      <c r="E103" s="11" t="s">
        <v>208</v>
      </c>
      <c r="F103" s="1" t="s">
        <v>209</v>
      </c>
      <c r="G103" s="31">
        <f t="shared" si="3"/>
        <v>21028.272000000004</v>
      </c>
      <c r="H103" s="50">
        <f>H104+H105</f>
        <v>0</v>
      </c>
      <c r="I103" s="50">
        <f>I104+I105</f>
        <v>0</v>
      </c>
      <c r="J103" s="50">
        <f>J104+J105</f>
        <v>0</v>
      </c>
      <c r="K103" s="50">
        <f>K104+K105</f>
        <v>21028.272000000004</v>
      </c>
    </row>
    <row r="104" spans="4:11" ht="15" customHeight="1" x14ac:dyDescent="0.25">
      <c r="D104" s="48" t="s">
        <v>210</v>
      </c>
      <c r="E104" s="13" t="s">
        <v>211</v>
      </c>
      <c r="F104" s="1" t="s">
        <v>212</v>
      </c>
      <c r="G104" s="31">
        <f t="shared" si="3"/>
        <v>21028.272000000004</v>
      </c>
      <c r="H104" s="12"/>
      <c r="I104" s="12"/>
      <c r="J104" s="12"/>
      <c r="K104" s="12">
        <f>2246.018+2171.786+1749.792+1769.159+1622.12+1427.198+1497.777+1563.156+1621.786+1682.31+1869.026+1808.144</f>
        <v>21028.272000000004</v>
      </c>
    </row>
    <row r="105" spans="4:11" ht="15" customHeight="1" x14ac:dyDescent="0.25">
      <c r="D105" s="48" t="s">
        <v>213</v>
      </c>
      <c r="E105" s="13" t="s">
        <v>214</v>
      </c>
      <c r="F105" s="1" t="s">
        <v>215</v>
      </c>
      <c r="G105" s="31">
        <f t="shared" si="3"/>
        <v>0</v>
      </c>
      <c r="H105" s="12"/>
      <c r="I105" s="12"/>
      <c r="J105" s="12"/>
      <c r="K105" s="12"/>
    </row>
    <row r="106" spans="4:11" ht="33.75" x14ac:dyDescent="0.25">
      <c r="D106" s="48" t="s">
        <v>216</v>
      </c>
      <c r="E106" s="11" t="s">
        <v>217</v>
      </c>
      <c r="F106" s="1" t="s">
        <v>218</v>
      </c>
      <c r="G106" s="31">
        <f t="shared" si="3"/>
        <v>4393.0820000000003</v>
      </c>
      <c r="H106" s="50">
        <f>H107+H108</f>
        <v>0</v>
      </c>
      <c r="I106" s="50">
        <f>I107+I108</f>
        <v>0</v>
      </c>
      <c r="J106" s="50">
        <f>J107+J108</f>
        <v>0</v>
      </c>
      <c r="K106" s="50">
        <f>K107+K108</f>
        <v>4393.0820000000003</v>
      </c>
    </row>
    <row r="107" spans="4:11" ht="15" customHeight="1" x14ac:dyDescent="0.25">
      <c r="D107" s="48" t="s">
        <v>219</v>
      </c>
      <c r="E107" s="13" t="s">
        <v>211</v>
      </c>
      <c r="F107" s="1" t="s">
        <v>220</v>
      </c>
      <c r="G107" s="31">
        <f t="shared" si="3"/>
        <v>4393.0820000000003</v>
      </c>
      <c r="H107" s="12"/>
      <c r="I107" s="12"/>
      <c r="J107" s="12"/>
      <c r="K107" s="12">
        <f>489.566+477.337+368.577+367.243+325.549+284.925+312.105+315.667+330.632+332.152+387.588+401.741</f>
        <v>4393.0820000000003</v>
      </c>
    </row>
    <row r="108" spans="4:11" ht="15" customHeight="1" x14ac:dyDescent="0.25">
      <c r="D108" s="48" t="s">
        <v>221</v>
      </c>
      <c r="E108" s="13" t="s">
        <v>214</v>
      </c>
      <c r="F108" s="1" t="s">
        <v>222</v>
      </c>
      <c r="G108" s="31">
        <f t="shared" si="3"/>
        <v>0</v>
      </c>
      <c r="H108" s="12"/>
      <c r="I108" s="12"/>
      <c r="J108" s="12"/>
      <c r="K108" s="12"/>
    </row>
    <row r="109" spans="4:11" ht="15" customHeight="1" x14ac:dyDescent="0.25">
      <c r="D109" s="48" t="s">
        <v>223</v>
      </c>
      <c r="E109" s="11" t="s">
        <v>224</v>
      </c>
      <c r="F109" s="1" t="s">
        <v>225</v>
      </c>
      <c r="G109" s="31">
        <f t="shared" si="3"/>
        <v>0</v>
      </c>
      <c r="H109" s="50">
        <f>H110+H111</f>
        <v>0</v>
      </c>
      <c r="I109" s="50">
        <f>I110+I111</f>
        <v>0</v>
      </c>
      <c r="J109" s="50">
        <f>J110+J111</f>
        <v>0</v>
      </c>
      <c r="K109" s="50">
        <f>K110+K111</f>
        <v>0</v>
      </c>
    </row>
    <row r="110" spans="4:11" ht="15" customHeight="1" x14ac:dyDescent="0.25">
      <c r="D110" s="48" t="s">
        <v>226</v>
      </c>
      <c r="E110" s="13" t="s">
        <v>211</v>
      </c>
      <c r="F110" s="1" t="s">
        <v>227</v>
      </c>
      <c r="G110" s="31">
        <f t="shared" si="3"/>
        <v>0</v>
      </c>
      <c r="H110" s="12"/>
      <c r="I110" s="12"/>
      <c r="J110" s="12"/>
      <c r="K110" s="12"/>
    </row>
    <row r="111" spans="4:11" ht="15" customHeight="1" x14ac:dyDescent="0.25">
      <c r="D111" s="48" t="s">
        <v>228</v>
      </c>
      <c r="E111" s="13" t="s">
        <v>214</v>
      </c>
      <c r="F111" s="1" t="s">
        <v>229</v>
      </c>
      <c r="G111" s="31">
        <f t="shared" si="3"/>
        <v>0</v>
      </c>
      <c r="H111" s="12"/>
      <c r="I111" s="12"/>
      <c r="J111" s="12"/>
      <c r="K111" s="12"/>
    </row>
    <row r="112" spans="4:11" ht="15" customHeight="1" x14ac:dyDescent="0.25">
      <c r="D112" s="48" t="s">
        <v>230</v>
      </c>
      <c r="E112" s="11" t="s">
        <v>231</v>
      </c>
      <c r="F112" s="1" t="s">
        <v>232</v>
      </c>
      <c r="G112" s="31">
        <f t="shared" si="3"/>
        <v>3.2</v>
      </c>
      <c r="H112" s="12"/>
      <c r="I112" s="12"/>
      <c r="J112" s="12"/>
      <c r="K112" s="12">
        <f>0.264+0.287+0.243+0.279+0.236+0.259+0.272+0.274+0.28+0.25+0.253+0.303</f>
        <v>3.2</v>
      </c>
    </row>
    <row r="113" spans="4:11" ht="15" customHeight="1" x14ac:dyDescent="0.25">
      <c r="D113" s="48" t="s">
        <v>233</v>
      </c>
      <c r="E113" s="11" t="s">
        <v>234</v>
      </c>
      <c r="F113" s="1" t="s">
        <v>235</v>
      </c>
      <c r="G113" s="31">
        <f t="shared" si="3"/>
        <v>34.274999999999999</v>
      </c>
      <c r="H113" s="12"/>
      <c r="I113" s="12"/>
      <c r="J113" s="12"/>
      <c r="K113" s="12">
        <f>3.27+3.27+3.956+2.887+1.776+3.169+2.584+2.402+2.039+2.624+2.806+3.492</f>
        <v>34.274999999999999</v>
      </c>
    </row>
    <row r="114" spans="4:11" ht="33.75" x14ac:dyDescent="0.25">
      <c r="D114" s="48" t="s">
        <v>236</v>
      </c>
      <c r="E114" s="11" t="s">
        <v>237</v>
      </c>
      <c r="F114" s="1" t="s">
        <v>238</v>
      </c>
      <c r="G114" s="31">
        <f t="shared" si="3"/>
        <v>0</v>
      </c>
      <c r="H114" s="12"/>
      <c r="I114" s="12"/>
      <c r="J114" s="12"/>
      <c r="K114" s="12"/>
    </row>
    <row r="115" spans="4:11" ht="22.5" x14ac:dyDescent="0.25">
      <c r="D115" s="48" t="s">
        <v>239</v>
      </c>
      <c r="E115" s="11" t="s">
        <v>240</v>
      </c>
      <c r="F115" s="1" t="s">
        <v>241</v>
      </c>
      <c r="G115" s="31">
        <f t="shared" si="3"/>
        <v>627.52100000000007</v>
      </c>
      <c r="H115" s="12"/>
      <c r="I115" s="12"/>
      <c r="J115" s="12"/>
      <c r="K115" s="12">
        <f>61.672+63.759+75.717+61.753+41.849+31.473+30.33+30.077+42.841+52.728+54.069+81.253</f>
        <v>627.52100000000007</v>
      </c>
    </row>
    <row r="116" spans="4:11" ht="15" customHeight="1" x14ac:dyDescent="0.25">
      <c r="D116" s="48" t="s">
        <v>242</v>
      </c>
      <c r="E116" s="4" t="s">
        <v>243</v>
      </c>
      <c r="F116" s="1" t="s">
        <v>244</v>
      </c>
      <c r="G116" s="31">
        <f t="shared" si="3"/>
        <v>4107.1170000000002</v>
      </c>
      <c r="H116" s="49">
        <f>H119</f>
        <v>0</v>
      </c>
      <c r="I116" s="49">
        <f>I119</f>
        <v>0</v>
      </c>
      <c r="J116" s="49">
        <f>J119</f>
        <v>2676.9049999999997</v>
      </c>
      <c r="K116" s="49">
        <f>K119</f>
        <v>1430.2120000000002</v>
      </c>
    </row>
    <row r="117" spans="4:11" ht="15" customHeight="1" x14ac:dyDescent="0.25">
      <c r="D117" s="48" t="s">
        <v>245</v>
      </c>
      <c r="E117" s="10" t="s">
        <v>187</v>
      </c>
      <c r="F117" s="1" t="s">
        <v>246</v>
      </c>
      <c r="G117" s="31">
        <f t="shared" si="3"/>
        <v>0.59325000000000006</v>
      </c>
      <c r="H117" s="12"/>
      <c r="I117" s="12"/>
      <c r="J117" s="12">
        <f>(0.384+0.393+0.355+0.349+0.358+0.405+0.417+0.394+0.352+0.351+0.334+0.402)/12</f>
        <v>0.3745</v>
      </c>
      <c r="K117" s="12">
        <f>(0.263+0.274+0.223+0.185+0.201+0.219+0.224+0.211+0.186+0.184+0.198+0.257)/12</f>
        <v>0.21875000000000003</v>
      </c>
    </row>
    <row r="118" spans="4:11" ht="15" customHeight="1" x14ac:dyDescent="0.25">
      <c r="D118" s="48" t="s">
        <v>247</v>
      </c>
      <c r="E118" s="11" t="s">
        <v>248</v>
      </c>
      <c r="F118" s="1" t="s">
        <v>249</v>
      </c>
      <c r="G118" s="31">
        <f t="shared" si="3"/>
        <v>0</v>
      </c>
      <c r="H118" s="12"/>
      <c r="I118" s="12"/>
      <c r="J118" s="12"/>
      <c r="K118" s="12"/>
    </row>
    <row r="119" spans="4:11" ht="15" customHeight="1" x14ac:dyDescent="0.25">
      <c r="D119" s="48" t="s">
        <v>250</v>
      </c>
      <c r="E119" s="10" t="s">
        <v>193</v>
      </c>
      <c r="F119" s="1" t="s">
        <v>251</v>
      </c>
      <c r="G119" s="31">
        <f t="shared" si="3"/>
        <v>4107.1170000000002</v>
      </c>
      <c r="H119" s="12"/>
      <c r="I119" s="12"/>
      <c r="J119" s="12">
        <f>223.062+204.672+216.269+213.75+223.034+238.448+249.364+241.733+209.907+218.776+205.801+232.089</f>
        <v>2676.9049999999997</v>
      </c>
      <c r="K119" s="12">
        <f>132.098+127.427+123.736+107.406+115.698+124.119+128.426+122.781+105.382+108.867+106.564+127.708</f>
        <v>1430.2120000000002</v>
      </c>
    </row>
    <row r="120" spans="4:11" ht="15" customHeight="1" x14ac:dyDescent="0.25">
      <c r="D120" s="48" t="s">
        <v>252</v>
      </c>
      <c r="E120" s="9" t="s">
        <v>253</v>
      </c>
      <c r="F120" s="1" t="s">
        <v>254</v>
      </c>
      <c r="G120" s="31">
        <f t="shared" si="3"/>
        <v>49951.595999999998</v>
      </c>
      <c r="H120" s="49">
        <f>SUM(H121:H122)</f>
        <v>0</v>
      </c>
      <c r="I120" s="49">
        <f>SUM(I121:I122)</f>
        <v>0</v>
      </c>
      <c r="J120" s="49">
        <f>SUM(J121:J122)</f>
        <v>49951.595999999998</v>
      </c>
      <c r="K120" s="49">
        <f>SUM(K121:K122)</f>
        <v>0</v>
      </c>
    </row>
    <row r="121" spans="4:11" ht="15" customHeight="1" x14ac:dyDescent="0.25">
      <c r="D121" s="48" t="s">
        <v>255</v>
      </c>
      <c r="E121" s="4" t="s">
        <v>26</v>
      </c>
      <c r="F121" s="1" t="s">
        <v>256</v>
      </c>
      <c r="G121" s="31">
        <f t="shared" si="3"/>
        <v>0</v>
      </c>
      <c r="H121" s="12"/>
      <c r="I121" s="12"/>
      <c r="J121" s="12"/>
      <c r="K121" s="12"/>
    </row>
    <row r="122" spans="4:11" ht="15" customHeight="1" x14ac:dyDescent="0.25">
      <c r="D122" s="48" t="s">
        <v>257</v>
      </c>
      <c r="E122" s="4" t="s">
        <v>184</v>
      </c>
      <c r="F122" s="1" t="s">
        <v>258</v>
      </c>
      <c r="G122" s="31">
        <f t="shared" si="3"/>
        <v>49951.595999999998</v>
      </c>
      <c r="H122" s="49">
        <f>H124</f>
        <v>0</v>
      </c>
      <c r="I122" s="49">
        <f>I124</f>
        <v>0</v>
      </c>
      <c r="J122" s="49">
        <f>J124</f>
        <v>49951.595999999998</v>
      </c>
      <c r="K122" s="49">
        <f>K124</f>
        <v>0</v>
      </c>
    </row>
    <row r="123" spans="4:11" ht="15" customHeight="1" x14ac:dyDescent="0.25">
      <c r="D123" s="48" t="s">
        <v>259</v>
      </c>
      <c r="E123" s="10" t="s">
        <v>260</v>
      </c>
      <c r="F123" s="1" t="s">
        <v>261</v>
      </c>
      <c r="G123" s="31">
        <f t="shared" si="3"/>
        <v>0</v>
      </c>
      <c r="H123" s="12"/>
      <c r="I123" s="12"/>
      <c r="J123" s="12"/>
      <c r="K123" s="12"/>
    </row>
    <row r="124" spans="4:11" ht="15" customHeight="1" x14ac:dyDescent="0.25">
      <c r="D124" s="48" t="s">
        <v>262</v>
      </c>
      <c r="E124" s="10" t="s">
        <v>193</v>
      </c>
      <c r="F124" s="1" t="s">
        <v>263</v>
      </c>
      <c r="G124" s="31">
        <f t="shared" si="3"/>
        <v>49951.595999999998</v>
      </c>
      <c r="H124" s="12"/>
      <c r="I124" s="12"/>
      <c r="J124" s="12">
        <f>4208*6+4117.266*6</f>
        <v>49951.595999999998</v>
      </c>
      <c r="K124" s="12"/>
    </row>
    <row r="125" spans="4:11" ht="15" customHeight="1" x14ac:dyDescent="0.25">
      <c r="D125" s="57" t="s">
        <v>264</v>
      </c>
      <c r="E125" s="58"/>
      <c r="F125" s="58"/>
      <c r="G125" s="58"/>
      <c r="H125" s="58"/>
      <c r="I125" s="58"/>
      <c r="J125" s="58"/>
      <c r="K125" s="59"/>
    </row>
    <row r="126" spans="4:11" ht="22.5" x14ac:dyDescent="0.25">
      <c r="D126" s="48" t="s">
        <v>265</v>
      </c>
      <c r="E126" s="3" t="s">
        <v>266</v>
      </c>
      <c r="F126" s="1" t="s">
        <v>267</v>
      </c>
      <c r="G126" s="31">
        <f t="shared" ref="G126:G146" si="4">SUM(H126:K126)</f>
        <v>54862.781916863198</v>
      </c>
      <c r="H126" s="49">
        <f>SUM( H127:H128)</f>
        <v>0</v>
      </c>
      <c r="I126" s="49">
        <f>SUM( I127:I128)</f>
        <v>0</v>
      </c>
      <c r="J126" s="49">
        <f>SUM( J127:J128)</f>
        <v>33664.960561703199</v>
      </c>
      <c r="K126" s="49">
        <f>SUM( K127:K128)</f>
        <v>21197.821355159998</v>
      </c>
    </row>
    <row r="127" spans="4:11" ht="15" customHeight="1" x14ac:dyDescent="0.25">
      <c r="D127" s="48" t="s">
        <v>268</v>
      </c>
      <c r="E127" s="4" t="s">
        <v>26</v>
      </c>
      <c r="F127" s="1" t="s">
        <v>269</v>
      </c>
      <c r="G127" s="31">
        <f t="shared" si="4"/>
        <v>51680.036110000001</v>
      </c>
      <c r="H127" s="12"/>
      <c r="I127" s="12"/>
      <c r="J127" s="12">
        <f>2965.35801+2833.25678+2989.16342+2576.5409+2082.75459+2239.52191+2252.24239+2237.22812+2287.26279+2552.45742+2724.63251+2812.83257</f>
        <v>30553.251409999997</v>
      </c>
      <c r="K127" s="12">
        <f>1882.44713+2077.14936+1749.57098+1804.47002+1546.01221+1584.48442+1536.98588+1375.99956+1683.89611+1861.3022+1938.6803+2085.78653</f>
        <v>21126.7847</v>
      </c>
    </row>
    <row r="128" spans="4:11" ht="15" customHeight="1" x14ac:dyDescent="0.25">
      <c r="D128" s="48" t="s">
        <v>270</v>
      </c>
      <c r="E128" s="4" t="s">
        <v>184</v>
      </c>
      <c r="F128" s="1" t="s">
        <v>271</v>
      </c>
      <c r="G128" s="31">
        <f t="shared" si="4"/>
        <v>3182.7458068631995</v>
      </c>
      <c r="H128" s="49">
        <f>H129+H131</f>
        <v>0</v>
      </c>
      <c r="I128" s="49">
        <f>I129+I131</f>
        <v>0</v>
      </c>
      <c r="J128" s="49">
        <f>J129+J131</f>
        <v>3111.7091517031995</v>
      </c>
      <c r="K128" s="49">
        <f>K129+K131</f>
        <v>71.036655160000009</v>
      </c>
    </row>
    <row r="129" spans="4:11" ht="15" customHeight="1" x14ac:dyDescent="0.25">
      <c r="D129" s="48" t="s">
        <v>272</v>
      </c>
      <c r="E129" s="10" t="s">
        <v>273</v>
      </c>
      <c r="F129" s="1" t="s">
        <v>274</v>
      </c>
      <c r="G129" s="31">
        <f t="shared" si="4"/>
        <v>2705.6901096031997</v>
      </c>
      <c r="H129" s="12"/>
      <c r="I129" s="12"/>
      <c r="J129" s="12">
        <f>404.2136+395.54759+385.36432+85.41958+65.96481+77.06932+301.39838+302.94532+309.90048+318.7192856232</f>
        <v>2646.5426856231998</v>
      </c>
      <c r="K129" s="12">
        <f>8.7383+8.64679+8.6493+8.47381+8.34344+8.47381+7.82197398</f>
        <v>59.147423980000006</v>
      </c>
    </row>
    <row r="130" spans="4:11" ht="15" customHeight="1" x14ac:dyDescent="0.25">
      <c r="D130" s="48" t="s">
        <v>275</v>
      </c>
      <c r="E130" s="11" t="s">
        <v>276</v>
      </c>
      <c r="F130" s="1" t="s">
        <v>277</v>
      </c>
      <c r="G130" s="31">
        <f t="shared" si="4"/>
        <v>0</v>
      </c>
      <c r="H130" s="12"/>
      <c r="I130" s="12"/>
      <c r="J130" s="12"/>
      <c r="K130" s="12"/>
    </row>
    <row r="131" spans="4:11" ht="15" customHeight="1" x14ac:dyDescent="0.25">
      <c r="D131" s="48" t="s">
        <v>278</v>
      </c>
      <c r="E131" s="10" t="s">
        <v>28</v>
      </c>
      <c r="F131" s="1" t="s">
        <v>279</v>
      </c>
      <c r="G131" s="31">
        <f t="shared" si="4"/>
        <v>477.05569725999999</v>
      </c>
      <c r="H131" s="12"/>
      <c r="I131" s="12"/>
      <c r="J131" s="12">
        <f>68.97644+55.64184+49.42297+33.75834+22.8451+11.96144+6.69709+21.19635+34.3361+45.56084+53.12579+61.64416608</f>
        <v>465.16646607999996</v>
      </c>
      <c r="K131" s="12">
        <f>1.76216+1.32738+1.16121+0.74408+0.44605+0.13235+0.20291+0.63719+1.02903+1.345812+1.47625+1.62480918</f>
        <v>11.889231179999999</v>
      </c>
    </row>
    <row r="132" spans="4:11" ht="15" customHeight="1" x14ac:dyDescent="0.25">
      <c r="D132" s="48" t="s">
        <v>43</v>
      </c>
      <c r="E132" s="3" t="s">
        <v>280</v>
      </c>
      <c r="F132" s="1" t="s">
        <v>281</v>
      </c>
      <c r="G132" s="31">
        <f t="shared" si="4"/>
        <v>43777.511971009997</v>
      </c>
      <c r="H132" s="50">
        <f>SUM( H133+H138)</f>
        <v>0</v>
      </c>
      <c r="I132" s="50">
        <f>SUM( I133+I138)</f>
        <v>0</v>
      </c>
      <c r="J132" s="50">
        <f>SUM( J133+J138)</f>
        <v>9401.3836585499994</v>
      </c>
      <c r="K132" s="50">
        <f>SUM( K133+K138)</f>
        <v>34376.128312460001</v>
      </c>
    </row>
    <row r="133" spans="4:11" ht="15" customHeight="1" x14ac:dyDescent="0.25">
      <c r="D133" s="48" t="s">
        <v>282</v>
      </c>
      <c r="E133" s="4" t="s">
        <v>26</v>
      </c>
      <c r="F133" s="1" t="s">
        <v>283</v>
      </c>
      <c r="G133" s="31">
        <f t="shared" si="4"/>
        <v>33128.9934154</v>
      </c>
      <c r="H133" s="50">
        <f>SUM( H134:H135)</f>
        <v>0</v>
      </c>
      <c r="I133" s="50">
        <f>SUM( I134:I135)</f>
        <v>0</v>
      </c>
      <c r="J133" s="50">
        <f>SUM( J134:J135)</f>
        <v>2826.7910067100001</v>
      </c>
      <c r="K133" s="50">
        <f>SUM( K134:K135)</f>
        <v>30302.202408690002</v>
      </c>
    </row>
    <row r="134" spans="4:11" ht="15" customHeight="1" x14ac:dyDescent="0.25">
      <c r="D134" s="48" t="s">
        <v>284</v>
      </c>
      <c r="E134" s="10" t="s">
        <v>202</v>
      </c>
      <c r="F134" s="1" t="s">
        <v>285</v>
      </c>
      <c r="G134" s="31">
        <f t="shared" si="4"/>
        <v>7756.4902554000009</v>
      </c>
      <c r="H134" s="14"/>
      <c r="I134" s="14"/>
      <c r="J134" s="14">
        <f>275.08737+250.30515+244.67314+224.40268+187.07567+207.24025+221.75245+190.25696+240.974095+242.57121+251.75988+290.69215171</f>
        <v>2826.7910067100001</v>
      </c>
      <c r="K134" s="14">
        <f>420.90137+435.43785+405.69978+394.86087+(381.84280484-3.73258)+400.64133+448.03118+423.34737+408.34322+399.52822+388.01457+426.78326385</f>
        <v>4929.6992486900008</v>
      </c>
    </row>
    <row r="135" spans="4:11" ht="15" customHeight="1" x14ac:dyDescent="0.25">
      <c r="D135" s="48" t="s">
        <v>286</v>
      </c>
      <c r="E135" s="10" t="s">
        <v>205</v>
      </c>
      <c r="F135" s="1" t="s">
        <v>287</v>
      </c>
      <c r="G135" s="31">
        <f t="shared" si="4"/>
        <v>25372.50316</v>
      </c>
      <c r="H135" s="50">
        <f>H136+H137</f>
        <v>0</v>
      </c>
      <c r="I135" s="50">
        <f>I136+I137</f>
        <v>0</v>
      </c>
      <c r="J135" s="50">
        <f>J136+J137</f>
        <v>0</v>
      </c>
      <c r="K135" s="50">
        <f>K136+K137</f>
        <v>25372.50316</v>
      </c>
    </row>
    <row r="136" spans="4:11" ht="15" customHeight="1" x14ac:dyDescent="0.25">
      <c r="D136" s="48" t="s">
        <v>288</v>
      </c>
      <c r="E136" s="11" t="s">
        <v>211</v>
      </c>
      <c r="F136" s="1" t="s">
        <v>289</v>
      </c>
      <c r="G136" s="31">
        <f t="shared" si="4"/>
        <v>25372.50316</v>
      </c>
      <c r="H136" s="14"/>
      <c r="I136" s="14"/>
      <c r="J136" s="14"/>
      <c r="K136" s="14">
        <f>2660.7505+2580.61705+2088.37075+2091.25495+1891.9535+1659.6728+1838.46033+1906.79706+1992.58406+2064.88884+2307.95765+2289.19567</f>
        <v>25372.50316</v>
      </c>
    </row>
    <row r="137" spans="4:11" ht="15" customHeight="1" x14ac:dyDescent="0.25">
      <c r="D137" s="48" t="s">
        <v>290</v>
      </c>
      <c r="E137" s="11" t="s">
        <v>291</v>
      </c>
      <c r="F137" s="1" t="s">
        <v>292</v>
      </c>
      <c r="G137" s="31">
        <f t="shared" si="4"/>
        <v>0</v>
      </c>
      <c r="H137" s="14"/>
      <c r="I137" s="14"/>
      <c r="J137" s="14"/>
      <c r="K137" s="14"/>
    </row>
    <row r="138" spans="4:11" ht="15" customHeight="1" x14ac:dyDescent="0.25">
      <c r="D138" s="48" t="s">
        <v>293</v>
      </c>
      <c r="E138" s="4" t="s">
        <v>243</v>
      </c>
      <c r="F138" s="1" t="s">
        <v>294</v>
      </c>
      <c r="G138" s="31">
        <f t="shared" si="4"/>
        <v>10648.518555609999</v>
      </c>
      <c r="H138" s="50">
        <f>H139+H141</f>
        <v>0</v>
      </c>
      <c r="I138" s="50">
        <f>I139+I141</f>
        <v>0</v>
      </c>
      <c r="J138" s="50">
        <f>J139+J141</f>
        <v>6574.5926518399992</v>
      </c>
      <c r="K138" s="50">
        <f>K139+K141</f>
        <v>4073.9259037699994</v>
      </c>
    </row>
    <row r="139" spans="4:11" ht="15" customHeight="1" x14ac:dyDescent="0.25">
      <c r="D139" s="48" t="s">
        <v>295</v>
      </c>
      <c r="E139" s="10" t="s">
        <v>273</v>
      </c>
      <c r="F139" s="1" t="s">
        <v>296</v>
      </c>
      <c r="G139" s="31">
        <f t="shared" si="4"/>
        <v>8748.0503998499989</v>
      </c>
      <c r="H139" s="12"/>
      <c r="I139" s="12"/>
      <c r="J139" s="12">
        <f>454.11412+464.75742+419.81904+412.72351+423.36681+478.94848+507.93374+479.91821+428.75942+427.54135+406.83422+489.66274104</f>
        <v>5394.3790610399992</v>
      </c>
      <c r="K139" s="12">
        <f>329.67615+343.46488+279.53529+231.90147+251.95782+274.5212+292.02036+275.07275+242.48119+239.87387+258.12514+335.04121881</f>
        <v>3353.6713388099997</v>
      </c>
    </row>
    <row r="140" spans="4:11" ht="15" customHeight="1" x14ac:dyDescent="0.25">
      <c r="D140" s="48" t="s">
        <v>297</v>
      </c>
      <c r="E140" s="11" t="s">
        <v>276</v>
      </c>
      <c r="F140" s="1" t="s">
        <v>298</v>
      </c>
      <c r="G140" s="31">
        <f t="shared" si="4"/>
        <v>0</v>
      </c>
      <c r="H140" s="12"/>
      <c r="I140" s="12"/>
      <c r="J140" s="12"/>
      <c r="K140" s="12"/>
    </row>
    <row r="141" spans="4:11" ht="15" customHeight="1" x14ac:dyDescent="0.25">
      <c r="D141" s="48" t="s">
        <v>299</v>
      </c>
      <c r="E141" s="10" t="s">
        <v>28</v>
      </c>
      <c r="F141" s="1" t="s">
        <v>300</v>
      </c>
      <c r="G141" s="31">
        <f t="shared" si="4"/>
        <v>1900.4681557599999</v>
      </c>
      <c r="H141" s="15"/>
      <c r="I141" s="15"/>
      <c r="J141" s="15">
        <f>95.62891+87.74493+92.71668+91.63676+95.61691+102.22504+112.89207+109.43736+95.0291+99.04427+93.17022872+105.07133208</f>
        <v>1180.2135908</v>
      </c>
      <c r="K141" s="15">
        <f>64.75048+62.46089+60.65168+52.6472+56.71169+60.83941+66.47587+63.5539+54.54783+56.35174+55.15966+66.10421496</f>
        <v>720.25456495999993</v>
      </c>
    </row>
    <row r="142" spans="4:11" ht="15" customHeight="1" x14ac:dyDescent="0.25">
      <c r="D142" s="48" t="s">
        <v>301</v>
      </c>
      <c r="E142" s="3" t="s">
        <v>302</v>
      </c>
      <c r="F142" s="1" t="s">
        <v>303</v>
      </c>
      <c r="G142" s="31">
        <f t="shared" si="4"/>
        <v>17263.724839999999</v>
      </c>
      <c r="H142" s="51">
        <f>SUM( H143:H144)</f>
        <v>0</v>
      </c>
      <c r="I142" s="51">
        <f>SUM( I143:I144)</f>
        <v>0</v>
      </c>
      <c r="J142" s="51">
        <f>SUM( J143:J144)</f>
        <v>17263.724839999999</v>
      </c>
      <c r="K142" s="51">
        <f>SUM( K143:K144)</f>
        <v>0</v>
      </c>
    </row>
    <row r="143" spans="4:11" ht="15" customHeight="1" x14ac:dyDescent="0.25">
      <c r="D143" s="48" t="s">
        <v>304</v>
      </c>
      <c r="E143" s="4" t="s">
        <v>26</v>
      </c>
      <c r="F143" s="1" t="s">
        <v>305</v>
      </c>
      <c r="G143" s="31">
        <f t="shared" si="4"/>
        <v>0</v>
      </c>
      <c r="H143" s="15"/>
      <c r="I143" s="15"/>
      <c r="J143" s="15"/>
      <c r="K143" s="15"/>
    </row>
    <row r="144" spans="4:11" ht="15" customHeight="1" x14ac:dyDescent="0.25">
      <c r="D144" s="48" t="s">
        <v>306</v>
      </c>
      <c r="E144" s="4" t="s">
        <v>184</v>
      </c>
      <c r="F144" s="1" t="s">
        <v>307</v>
      </c>
      <c r="G144" s="31">
        <f t="shared" si="4"/>
        <v>17263.724839999999</v>
      </c>
      <c r="H144" s="51">
        <f>H145+H146</f>
        <v>0</v>
      </c>
      <c r="I144" s="51">
        <f>I145+I146</f>
        <v>0</v>
      </c>
      <c r="J144" s="51">
        <f>J145+J146</f>
        <v>17263.724839999999</v>
      </c>
      <c r="K144" s="51">
        <f>K145+K146</f>
        <v>0</v>
      </c>
    </row>
    <row r="145" spans="4:12" ht="15" customHeight="1" x14ac:dyDescent="0.25">
      <c r="D145" s="48" t="s">
        <v>308</v>
      </c>
      <c r="E145" s="10" t="s">
        <v>27</v>
      </c>
      <c r="F145" s="1" t="s">
        <v>309</v>
      </c>
      <c r="G145" s="31">
        <f t="shared" si="4"/>
        <v>0</v>
      </c>
      <c r="H145" s="15"/>
      <c r="I145" s="15"/>
      <c r="J145" s="15"/>
      <c r="K145" s="15"/>
    </row>
    <row r="146" spans="4:12" ht="15" customHeight="1" x14ac:dyDescent="0.25">
      <c r="D146" s="48" t="s">
        <v>310</v>
      </c>
      <c r="E146" s="10" t="s">
        <v>28</v>
      </c>
      <c r="F146" s="1" t="s">
        <v>311</v>
      </c>
      <c r="G146" s="31">
        <f t="shared" si="4"/>
        <v>17263.724839999999</v>
      </c>
      <c r="H146" s="15"/>
      <c r="I146" s="15"/>
      <c r="J146" s="15">
        <v>17263.724839999999</v>
      </c>
      <c r="K146" s="16"/>
    </row>
    <row r="147" spans="4:12" x14ac:dyDescent="0.25">
      <c r="D147" s="24"/>
      <c r="E147" s="52"/>
      <c r="F147" s="52"/>
      <c r="G147" s="52"/>
      <c r="H147" s="52"/>
      <c r="I147" s="52"/>
      <c r="J147" s="52"/>
      <c r="K147" s="53"/>
      <c r="L147" s="53"/>
    </row>
    <row r="148" spans="4:12" ht="12.75" x14ac:dyDescent="0.2">
      <c r="E148" s="32" t="s">
        <v>312</v>
      </c>
      <c r="F148" s="62" t="str">
        <f>IF([3]Титульный!G45="","",[3]Титульный!G45)</f>
        <v>Экономист</v>
      </c>
      <c r="G148" s="62"/>
      <c r="H148" s="54"/>
      <c r="I148" s="62" t="str">
        <f>IF([3]Титульный!G44="","",[3]Титульный!G44)</f>
        <v>Бреховских Ирина Викторовна</v>
      </c>
      <c r="J148" s="62"/>
      <c r="K148" s="62"/>
      <c r="L148" s="53"/>
    </row>
    <row r="149" spans="4:12" ht="12.75" x14ac:dyDescent="0.2">
      <c r="E149" s="55" t="s">
        <v>313</v>
      </c>
      <c r="F149" s="60" t="s">
        <v>30</v>
      </c>
      <c r="G149" s="60"/>
      <c r="H149" s="32"/>
      <c r="I149" s="60" t="s">
        <v>29</v>
      </c>
      <c r="J149" s="60"/>
      <c r="K149" s="60"/>
      <c r="L149" s="53"/>
    </row>
    <row r="150" spans="4:12" ht="12.75" x14ac:dyDescent="0.2">
      <c r="E150" s="55" t="s">
        <v>314</v>
      </c>
      <c r="F150" s="32"/>
      <c r="G150" s="32"/>
      <c r="H150" s="32"/>
      <c r="I150" s="32"/>
      <c r="J150" s="32"/>
      <c r="K150" s="32"/>
      <c r="L150" s="53"/>
    </row>
    <row r="151" spans="4:12" ht="12.75" x14ac:dyDescent="0.2">
      <c r="E151" s="55" t="s">
        <v>315</v>
      </c>
      <c r="F151" s="62" t="str">
        <f>IF([3]Титульный!G46="","",[3]Титульный!G46)</f>
        <v>8(81850)3-32-51</v>
      </c>
      <c r="G151" s="62"/>
      <c r="H151" s="62"/>
      <c r="I151" s="32"/>
      <c r="J151" s="55" t="s">
        <v>31</v>
      </c>
      <c r="K151" s="54"/>
      <c r="L151" s="53"/>
    </row>
    <row r="152" spans="4:12" ht="12.75" x14ac:dyDescent="0.2">
      <c r="E152" s="32" t="s">
        <v>316</v>
      </c>
      <c r="F152" s="61" t="s">
        <v>32</v>
      </c>
      <c r="G152" s="61"/>
      <c r="H152" s="61"/>
      <c r="I152" s="32"/>
      <c r="J152" s="56" t="s">
        <v>33</v>
      </c>
      <c r="K152" s="56"/>
      <c r="L152" s="53"/>
    </row>
    <row r="153" spans="4:12" x14ac:dyDescent="0.25">
      <c r="E153" s="53"/>
      <c r="F153" s="53"/>
      <c r="G153" s="53"/>
      <c r="H153" s="53"/>
      <c r="I153" s="53"/>
      <c r="J153" s="53"/>
      <c r="K153" s="53"/>
      <c r="L153" s="53"/>
    </row>
    <row r="154" spans="4:12" x14ac:dyDescent="0.25">
      <c r="E154" s="53"/>
      <c r="F154" s="53"/>
      <c r="G154" s="53"/>
      <c r="H154" s="53"/>
      <c r="I154" s="53"/>
      <c r="J154" s="53"/>
      <c r="K154" s="53"/>
      <c r="L154" s="53"/>
    </row>
    <row r="155" spans="4:12" x14ac:dyDescent="0.25">
      <c r="E155" s="53"/>
      <c r="F155" s="53"/>
      <c r="G155" s="53"/>
      <c r="H155" s="53"/>
      <c r="I155" s="53"/>
      <c r="J155" s="53"/>
      <c r="K155" s="53"/>
      <c r="L155" s="53"/>
    </row>
    <row r="156" spans="4:12" x14ac:dyDescent="0.25">
      <c r="E156" s="53"/>
      <c r="F156" s="53"/>
      <c r="G156" s="53"/>
      <c r="H156" s="53"/>
      <c r="I156" s="53"/>
      <c r="J156" s="53"/>
      <c r="K156" s="53"/>
      <c r="L156" s="53"/>
    </row>
    <row r="157" spans="4:12" x14ac:dyDescent="0.25">
      <c r="E157" s="53"/>
      <c r="F157" s="53"/>
      <c r="G157" s="53"/>
      <c r="H157" s="53"/>
      <c r="I157" s="53"/>
      <c r="J157" s="53"/>
      <c r="K157" s="53"/>
      <c r="L157" s="53"/>
    </row>
    <row r="158" spans="4:12" x14ac:dyDescent="0.25">
      <c r="E158" s="53"/>
      <c r="F158" s="53"/>
      <c r="G158" s="53"/>
      <c r="H158" s="53"/>
      <c r="I158" s="53"/>
      <c r="J158" s="53"/>
      <c r="K158" s="53"/>
      <c r="L158" s="53"/>
    </row>
    <row r="159" spans="4:12" x14ac:dyDescent="0.25">
      <c r="E159" s="53"/>
      <c r="F159" s="53"/>
      <c r="G159" s="53"/>
      <c r="H159" s="53"/>
      <c r="I159" s="53"/>
      <c r="J159" s="53"/>
      <c r="K159" s="53"/>
      <c r="L159" s="53"/>
    </row>
    <row r="160" spans="4:12" x14ac:dyDescent="0.25">
      <c r="E160" s="53"/>
      <c r="F160" s="53"/>
      <c r="G160" s="53"/>
      <c r="H160" s="53"/>
      <c r="I160" s="53"/>
      <c r="J160" s="53"/>
      <c r="K160" s="53"/>
      <c r="L160" s="53"/>
    </row>
    <row r="161" spans="5:12" x14ac:dyDescent="0.25">
      <c r="E161" s="53"/>
      <c r="F161" s="53"/>
      <c r="G161" s="53"/>
      <c r="H161" s="53"/>
      <c r="I161" s="53"/>
      <c r="J161" s="53"/>
      <c r="K161" s="53"/>
      <c r="L161" s="53"/>
    </row>
    <row r="162" spans="5:12" x14ac:dyDescent="0.25">
      <c r="E162" s="53"/>
      <c r="F162" s="53"/>
      <c r="G162" s="53"/>
      <c r="H162" s="53"/>
      <c r="I162" s="53"/>
      <c r="J162" s="53"/>
      <c r="K162" s="53"/>
      <c r="L162" s="53"/>
    </row>
    <row r="163" spans="5:12" x14ac:dyDescent="0.25">
      <c r="E163" s="53"/>
      <c r="F163" s="53"/>
      <c r="G163" s="53"/>
      <c r="H163" s="53"/>
      <c r="I163" s="53"/>
      <c r="J163" s="53"/>
      <c r="K163" s="53"/>
      <c r="L163" s="53"/>
    </row>
    <row r="164" spans="5:12" x14ac:dyDescent="0.25">
      <c r="E164" s="53"/>
      <c r="F164" s="53"/>
      <c r="G164" s="53"/>
      <c r="H164" s="53"/>
      <c r="I164" s="53"/>
      <c r="J164" s="53"/>
      <c r="K164" s="53"/>
      <c r="L164" s="53"/>
    </row>
    <row r="165" spans="5:12" x14ac:dyDescent="0.25">
      <c r="E165" s="53"/>
      <c r="F165" s="53"/>
      <c r="G165" s="53"/>
      <c r="H165" s="53"/>
      <c r="I165" s="53"/>
      <c r="J165" s="53"/>
      <c r="K165" s="53"/>
      <c r="L165" s="53"/>
    </row>
    <row r="166" spans="5:12" x14ac:dyDescent="0.25">
      <c r="E166" s="53"/>
      <c r="F166" s="53"/>
      <c r="G166" s="53"/>
      <c r="H166" s="53"/>
      <c r="I166" s="53"/>
      <c r="J166" s="53"/>
      <c r="K166" s="53"/>
      <c r="L166" s="53"/>
    </row>
    <row r="167" spans="5:12" x14ac:dyDescent="0.25">
      <c r="E167" s="53"/>
      <c r="F167" s="53"/>
      <c r="G167" s="53"/>
      <c r="H167" s="53"/>
      <c r="I167" s="53"/>
      <c r="J167" s="53"/>
      <c r="K167" s="53"/>
      <c r="L167" s="53"/>
    </row>
    <row r="168" spans="5:12" x14ac:dyDescent="0.25">
      <c r="E168" s="53"/>
      <c r="F168" s="53"/>
      <c r="G168" s="53"/>
      <c r="H168" s="53"/>
      <c r="I168" s="53"/>
      <c r="J168" s="53"/>
      <c r="K168" s="53"/>
      <c r="L168" s="53"/>
    </row>
    <row r="169" spans="5:12" x14ac:dyDescent="0.25">
      <c r="E169" s="53"/>
      <c r="F169" s="53"/>
      <c r="G169" s="53"/>
      <c r="H169" s="53"/>
      <c r="I169" s="53"/>
      <c r="J169" s="53"/>
      <c r="K169" s="53"/>
      <c r="L169" s="53"/>
    </row>
    <row r="170" spans="5:12" x14ac:dyDescent="0.25">
      <c r="E170" s="53"/>
      <c r="F170" s="53"/>
      <c r="G170" s="53"/>
      <c r="H170" s="53"/>
      <c r="I170" s="53"/>
      <c r="J170" s="53"/>
      <c r="K170" s="53"/>
      <c r="L170" s="53"/>
    </row>
    <row r="171" spans="5:12" x14ac:dyDescent="0.25">
      <c r="E171" s="53"/>
      <c r="F171" s="53"/>
      <c r="G171" s="53"/>
      <c r="H171" s="53"/>
      <c r="I171" s="53"/>
      <c r="J171" s="53"/>
      <c r="K171" s="53"/>
      <c r="L171" s="53"/>
    </row>
    <row r="172" spans="5:12" x14ac:dyDescent="0.25">
      <c r="E172" s="53"/>
      <c r="F172" s="53"/>
      <c r="G172" s="53"/>
      <c r="H172" s="53"/>
      <c r="I172" s="53"/>
      <c r="J172" s="53"/>
      <c r="K172" s="53"/>
      <c r="L172" s="53"/>
    </row>
    <row r="173" spans="5:12" x14ac:dyDescent="0.25">
      <c r="E173" s="53"/>
      <c r="F173" s="53"/>
      <c r="G173" s="53"/>
      <c r="H173" s="53"/>
      <c r="I173" s="53"/>
      <c r="J173" s="53"/>
      <c r="K173" s="53"/>
      <c r="L173" s="53"/>
    </row>
    <row r="174" spans="5:12" x14ac:dyDescent="0.25">
      <c r="E174" s="53"/>
      <c r="F174" s="53"/>
      <c r="G174" s="53"/>
      <c r="H174" s="53"/>
      <c r="I174" s="53"/>
      <c r="J174" s="53"/>
      <c r="K174" s="53"/>
      <c r="L174" s="53"/>
    </row>
    <row r="175" spans="5:12" x14ac:dyDescent="0.25">
      <c r="E175" s="53"/>
      <c r="F175" s="53"/>
      <c r="G175" s="53"/>
      <c r="H175" s="53"/>
      <c r="I175" s="53"/>
      <c r="J175" s="53"/>
      <c r="K175" s="53"/>
      <c r="L175" s="53"/>
    </row>
    <row r="176" spans="5:12" x14ac:dyDescent="0.25">
      <c r="E176" s="53"/>
      <c r="F176" s="53"/>
      <c r="G176" s="53"/>
      <c r="H176" s="53"/>
      <c r="I176" s="53"/>
      <c r="J176" s="53"/>
      <c r="K176" s="53"/>
      <c r="L176" s="53"/>
    </row>
    <row r="177" spans="5:12" x14ac:dyDescent="0.25">
      <c r="E177" s="53"/>
      <c r="F177" s="53"/>
      <c r="G177" s="53"/>
      <c r="H177" s="53"/>
      <c r="I177" s="53"/>
      <c r="J177" s="53"/>
      <c r="K177" s="53"/>
      <c r="L177" s="53"/>
    </row>
  </sheetData>
  <mergeCells count="17">
    <mergeCell ref="H11:K11"/>
    <mergeCell ref="D14:K14"/>
    <mergeCell ref="D52:K52"/>
    <mergeCell ref="D88:K88"/>
    <mergeCell ref="D92:K92"/>
    <mergeCell ref="D8:E8"/>
    <mergeCell ref="D11:D12"/>
    <mergeCell ref="E11:E12"/>
    <mergeCell ref="F11:F12"/>
    <mergeCell ref="G11:G12"/>
    <mergeCell ref="D125:K125"/>
    <mergeCell ref="F149:G149"/>
    <mergeCell ref="I149:K149"/>
    <mergeCell ref="F152:H152"/>
    <mergeCell ref="F148:G148"/>
    <mergeCell ref="I148:K148"/>
    <mergeCell ref="F151:H151"/>
  </mergeCells>
  <dataValidations count="2">
    <dataValidation allowBlank="1" showInputMessage="1" promptTitle="Ввод" prompt="Для выбора организации необходимо два раза нажать левую клавишу мыши!" sqref="E41 E19" xr:uid="{D08FC3CF-136E-4AE5-A401-6C3A4611FD22}"/>
    <dataValidation type="decimal" allowBlank="1" showErrorMessage="1" errorTitle="Ошибка" error="Допускается ввод только действительных чисел!" sqref="G24:K25 G58:K59 G89:K91 G27:K41 G21:K22 G43:K51 G93:K124 G15:K19 G53:K56 G61:K62 G79:K87 G64:K77 G126:K146" xr:uid="{512A0252-5F91-4806-A23A-7F58F345BCE8}">
      <formula1>-9.99999999999999E+23</formula1>
      <formula2>9.99999999999999E+23</formula2>
    </dataValidation>
  </dataValidations>
  <pageMargins left="0.31496062992125984" right="0.31496062992125984" top="0.35433070866141736" bottom="0.35433070866141736" header="0.11811023622047245" footer="0.11811023622047245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отпуск в сеть и факт. потери</vt:lpstr>
      <vt:lpstr>'отпуск в сеть и факт. потери'!Область_печати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2022-04-12T10:48:06Z</dcterms:modified>
</cp:coreProperties>
</file>